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20-21\"/>
    </mc:Choice>
  </mc:AlternateContent>
  <workbookProtection workbookAlgorithmName="SHA-512" workbookHashValue="Qk682QOCiJq7jXCWU5PubuW9IekvGOljDjleLUwZlpoo5deFn/Cmtv0q96V5KWta2fPQtXQljseHfuxCyxWEXg==" workbookSaltValue="QQijv1C79midRYwnspSFFw==" workbookSpinCount="100000" lockStructure="1"/>
  <bookViews>
    <workbookView xWindow="0" yWindow="0" windowWidth="19200" windowHeight="11460" tabRatio="879" firstSheet="1" activeTab="4"/>
  </bookViews>
  <sheets>
    <sheet name="To Do" sheetId="29" state="hidden" r:id="rId1"/>
    <sheet name=" Guidance Notes" sheetId="10" r:id="rId2"/>
    <sheet name="Summary" sheetId="4" r:id="rId3"/>
    <sheet name="Income" sheetId="3" r:id="rId4"/>
    <sheet name="Expenditure" sheetId="2" r:id="rId5"/>
    <sheet name="Capital" sheetId="13" r:id="rId6"/>
    <sheet name="Early Years" sheetId="33" r:id="rId7"/>
    <sheet name="Special Provision" sheetId="34" r:id="rId8"/>
    <sheet name="Fin.Yr Lookups" sheetId="32" state="hidden" r:id="rId9"/>
    <sheet name="Lookup" sheetId="26" state="hidden" r:id="rId10"/>
    <sheet name="High Needs Statements" sheetId="17" r:id="rId11"/>
    <sheet name="Schools Block" sheetId="27" r:id="rId12"/>
    <sheet name="Additional Funding" sheetId="28" r:id="rId13"/>
    <sheet name="Cash Flow Report" sheetId="12" r:id="rId14"/>
    <sheet name="Prior Year Comparison" sheetId="19" r:id="rId15"/>
    <sheet name="Export Data" sheetId="20" r:id="rId16"/>
  </sheets>
  <definedNames>
    <definedName name="_xlnm._FilterDatabase" localSheetId="4" hidden="1">Expenditure!$A$8:$F$595</definedName>
    <definedName name="_xlnm._FilterDatabase" localSheetId="3" hidden="1">Income!$A$6:$F$63</definedName>
    <definedName name="_xlnm._FilterDatabase" localSheetId="9" hidden="1">Lookup!$A$1:$O$263</definedName>
    <definedName name="BandCOrdinary" localSheetId="7">'High Needs Statements'!#REF!</definedName>
    <definedName name="BandCOrdinary">'High Needs Statements'!#REF!</definedName>
    <definedName name="BandDOrdinary" localSheetId="7">'High Needs Statements'!#REF!</definedName>
    <definedName name="BandDOrdinary">'High Needs Statements'!#REF!</definedName>
    <definedName name="ledgerexp" localSheetId="7">#REF!</definedName>
    <definedName name="ledgerexp">#REF!</definedName>
    <definedName name="ledgerfund" localSheetId="7">#REF!</definedName>
    <definedName name="ledgerfund">#REF!</definedName>
    <definedName name="ledgerinc" localSheetId="7">#REF!</definedName>
    <definedName name="ledgerinc">#REF!</definedName>
    <definedName name="LSAFringe" localSheetId="7">'High Needs Statements'!#REF!</definedName>
    <definedName name="LSAFringe">'High Needs Statements'!#REF!</definedName>
    <definedName name="LSAInner" localSheetId="7">'High Needs Statements'!#REF!</definedName>
    <definedName name="LSAInner">'High Needs Statements'!#REF!</definedName>
    <definedName name="LSAOrdinary" localSheetId="7">'High Needs Statements'!#REF!</definedName>
    <definedName name="LSAOrdinary">'High Needs Statements'!#REF!</definedName>
    <definedName name="_xlnm.Print_Area" localSheetId="1">' Guidance Notes'!$A$1:$B$102</definedName>
    <definedName name="_xlnm.Print_Area" localSheetId="12">'Additional Funding'!$A$1:$O$117</definedName>
    <definedName name="_xlnm.Print_Area" localSheetId="5">Capital!$A$1:$J$50</definedName>
    <definedName name="_xlnm.Print_Area" localSheetId="13">'Cash Flow Report'!$A$1:$N$147</definedName>
    <definedName name="_xlnm.Print_Area" localSheetId="6">'Early Years'!$A$1:$G$25</definedName>
    <definedName name="_xlnm.Print_Area" localSheetId="4">Expenditure!$A$1:$F$594</definedName>
    <definedName name="_xlnm.Print_Area" localSheetId="10">'High Needs Statements'!$A$1:$E$118</definedName>
    <definedName name="_xlnm.Print_Area" localSheetId="3">Income!$A$1:$E$64</definedName>
    <definedName name="_xlnm.Print_Area" localSheetId="14">'Prior Year Comparison'!$A$1:$G$145</definedName>
    <definedName name="_xlnm.Print_Area" localSheetId="11">'Schools Block'!$A$1:$H$59</definedName>
    <definedName name="_xlnm.Print_Area" localSheetId="7">'Special Provision'!$A$1:$C$46</definedName>
    <definedName name="_xlnm.Print_Area" localSheetId="2">Summary!$A$1:$E$192</definedName>
    <definedName name="_xlnm.Print_Titles" localSheetId="13">'Cash Flow Report'!$52:$52</definedName>
    <definedName name="_xlnm.Print_Titles" localSheetId="4">Expenditure!$8:$8</definedName>
    <definedName name="_xlnm.Print_Titles" localSheetId="10">'High Needs Statements'!$16:$16</definedName>
    <definedName name="_xlnm.Print_Titles" localSheetId="3">Income!$6:$6</definedName>
    <definedName name="_xlnm.Print_Titles" localSheetId="14">'Prior Year Comparison'!$5:$6</definedName>
    <definedName name="profile">'Cash Flow Report'!$O$2:$O$7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0" i="4" l="1"/>
  <c r="I183" i="4" l="1"/>
  <c r="G21" i="27" l="1"/>
  <c r="A49" i="27"/>
  <c r="B43" i="27"/>
  <c r="S1" i="26" l="1"/>
  <c r="H1" i="26"/>
  <c r="A3" i="17" l="1"/>
  <c r="A2" i="17"/>
  <c r="B8" i="10"/>
  <c r="D81" i="4" l="1"/>
  <c r="D68" i="4"/>
  <c r="D63" i="4"/>
  <c r="A89" i="4"/>
  <c r="A97" i="4"/>
  <c r="A72" i="4"/>
  <c r="D60" i="4"/>
  <c r="B145" i="20" l="1"/>
  <c r="A53" i="27" l="1"/>
  <c r="E126" i="4" l="1"/>
  <c r="C578" i="2"/>
  <c r="F18" i="17" l="1"/>
  <c r="E18" i="17" s="1"/>
  <c r="F19" i="17"/>
  <c r="E19" i="17" s="1"/>
  <c r="F20" i="17"/>
  <c r="E20" i="17" s="1"/>
  <c r="F21" i="17"/>
  <c r="E21" i="17" s="1"/>
  <c r="F22" i="17"/>
  <c r="E22" i="17" s="1"/>
  <c r="F23" i="17"/>
  <c r="E23" i="17" s="1"/>
  <c r="F24" i="17"/>
  <c r="E24" i="17" s="1"/>
  <c r="F25" i="17"/>
  <c r="E25" i="17" s="1"/>
  <c r="F26" i="17"/>
  <c r="E26" i="17" s="1"/>
  <c r="F27" i="17"/>
  <c r="E27" i="17" s="1"/>
  <c r="F28" i="17"/>
  <c r="E28" i="17" s="1"/>
  <c r="F29" i="17"/>
  <c r="E29" i="17" s="1"/>
  <c r="F30" i="17"/>
  <c r="E30" i="17" s="1"/>
  <c r="F31" i="17"/>
  <c r="E31" i="17" s="1"/>
  <c r="F32" i="17"/>
  <c r="E32" i="17" s="1"/>
  <c r="F33" i="17"/>
  <c r="E33" i="17" s="1"/>
  <c r="F34" i="17"/>
  <c r="E34" i="17" s="1"/>
  <c r="F35" i="17"/>
  <c r="E35" i="17" s="1"/>
  <c r="F36" i="17"/>
  <c r="E36" i="17" s="1"/>
  <c r="F37" i="17"/>
  <c r="E37" i="17" s="1"/>
  <c r="F38" i="17"/>
  <c r="E38" i="17" s="1"/>
  <c r="F39" i="17"/>
  <c r="E39" i="17" s="1"/>
  <c r="F40" i="17"/>
  <c r="E40" i="17" s="1"/>
  <c r="F41" i="17"/>
  <c r="E41" i="17" s="1"/>
  <c r="F42" i="17"/>
  <c r="E42" i="17" s="1"/>
  <c r="F43" i="17"/>
  <c r="E43" i="17" s="1"/>
  <c r="F44" i="17"/>
  <c r="E44" i="17" s="1"/>
  <c r="F45" i="17"/>
  <c r="E45" i="17" s="1"/>
  <c r="F46" i="17"/>
  <c r="E46" i="17" s="1"/>
  <c r="F47" i="17"/>
  <c r="E47" i="17" s="1"/>
  <c r="F48" i="17"/>
  <c r="E48" i="17" s="1"/>
  <c r="F49" i="17"/>
  <c r="E49" i="17" s="1"/>
  <c r="F50" i="17"/>
  <c r="E50" i="17" s="1"/>
  <c r="F51" i="17"/>
  <c r="E51" i="17" s="1"/>
  <c r="F52" i="17"/>
  <c r="E52" i="17" s="1"/>
  <c r="F53" i="17"/>
  <c r="E53" i="17" s="1"/>
  <c r="F54" i="17"/>
  <c r="E54" i="17" s="1"/>
  <c r="F55" i="17"/>
  <c r="E55" i="17" s="1"/>
  <c r="F56" i="17"/>
  <c r="E56" i="17" s="1"/>
  <c r="F57" i="17"/>
  <c r="E57" i="17" s="1"/>
  <c r="F58" i="17"/>
  <c r="E58" i="17" s="1"/>
  <c r="F59" i="17"/>
  <c r="E59" i="17" s="1"/>
  <c r="F60" i="17"/>
  <c r="E60" i="17" s="1"/>
  <c r="F61" i="17"/>
  <c r="E61" i="17" s="1"/>
  <c r="F62" i="17"/>
  <c r="E62" i="17" s="1"/>
  <c r="F63" i="17"/>
  <c r="E63" i="17" s="1"/>
  <c r="F64" i="17"/>
  <c r="E64" i="17" s="1"/>
  <c r="F65" i="17"/>
  <c r="E65" i="17" s="1"/>
  <c r="F66" i="17"/>
  <c r="E66" i="17" s="1"/>
  <c r="F67" i="17"/>
  <c r="E67" i="17" s="1"/>
  <c r="F68" i="17"/>
  <c r="E68" i="17" s="1"/>
  <c r="F69" i="17"/>
  <c r="E69" i="17" s="1"/>
  <c r="F70" i="17"/>
  <c r="E70" i="17" s="1"/>
  <c r="F71" i="17"/>
  <c r="E71" i="17" s="1"/>
  <c r="F72" i="17"/>
  <c r="E72" i="17" s="1"/>
  <c r="F73" i="17"/>
  <c r="E73" i="17" s="1"/>
  <c r="F74" i="17"/>
  <c r="E74" i="17" s="1"/>
  <c r="F75" i="17"/>
  <c r="E75" i="17" s="1"/>
  <c r="F76" i="17"/>
  <c r="E76" i="17" s="1"/>
  <c r="F77" i="17"/>
  <c r="E77" i="17" s="1"/>
  <c r="F78" i="17"/>
  <c r="E78" i="17" s="1"/>
  <c r="F79" i="17"/>
  <c r="E79" i="17" s="1"/>
  <c r="F80" i="17"/>
  <c r="E80" i="17" s="1"/>
  <c r="F81" i="17"/>
  <c r="E81" i="17" s="1"/>
  <c r="F82" i="17"/>
  <c r="E82" i="17" s="1"/>
  <c r="F83" i="17"/>
  <c r="E83" i="17" s="1"/>
  <c r="F84" i="17"/>
  <c r="E84" i="17" s="1"/>
  <c r="F85" i="17"/>
  <c r="E85" i="17" s="1"/>
  <c r="F86" i="17"/>
  <c r="E86" i="17" s="1"/>
  <c r="F87" i="17"/>
  <c r="E87" i="17" s="1"/>
  <c r="F88" i="17"/>
  <c r="E88" i="17" s="1"/>
  <c r="F89" i="17"/>
  <c r="E89" i="17" s="1"/>
  <c r="F90" i="17"/>
  <c r="E90" i="17" s="1"/>
  <c r="F91" i="17"/>
  <c r="E91" i="17" s="1"/>
  <c r="F92" i="17"/>
  <c r="E92" i="17" s="1"/>
  <c r="F93" i="17"/>
  <c r="E93" i="17" s="1"/>
  <c r="F94" i="17"/>
  <c r="E94" i="17" s="1"/>
  <c r="F95" i="17"/>
  <c r="E95" i="17" s="1"/>
  <c r="F96" i="17"/>
  <c r="E96" i="17" s="1"/>
  <c r="F97" i="17"/>
  <c r="E97" i="17" s="1"/>
  <c r="F98" i="17"/>
  <c r="E98" i="17" s="1"/>
  <c r="F99" i="17"/>
  <c r="E99" i="17" s="1"/>
  <c r="F100" i="17"/>
  <c r="E100" i="17" s="1"/>
  <c r="F101" i="17"/>
  <c r="E101" i="17" s="1"/>
  <c r="F102" i="17"/>
  <c r="E102" i="17" s="1"/>
  <c r="F103" i="17"/>
  <c r="E103" i="17" s="1"/>
  <c r="F104" i="17"/>
  <c r="E104" i="17" s="1"/>
  <c r="F105" i="17"/>
  <c r="E105" i="17" s="1"/>
  <c r="F106" i="17"/>
  <c r="E106" i="17" s="1"/>
  <c r="F107" i="17"/>
  <c r="E107" i="17" s="1"/>
  <c r="F108" i="17"/>
  <c r="E108" i="17" s="1"/>
  <c r="F109" i="17"/>
  <c r="E109" i="17" s="1"/>
  <c r="F110" i="17"/>
  <c r="E110" i="17" s="1"/>
  <c r="F111" i="17"/>
  <c r="E111" i="17" s="1"/>
  <c r="F112" i="17"/>
  <c r="E112" i="17" s="1"/>
  <c r="F113" i="17"/>
  <c r="E113" i="17" s="1"/>
  <c r="F114" i="17"/>
  <c r="E114" i="17" s="1"/>
  <c r="F115" i="17"/>
  <c r="E115" i="17" s="1"/>
  <c r="F116" i="17"/>
  <c r="E116" i="17" s="1"/>
  <c r="F17" i="17"/>
  <c r="E17" i="17" s="1"/>
  <c r="B60" i="10" l="1"/>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2" i="12"/>
  <c r="A111" i="12"/>
  <c r="A110" i="12"/>
  <c r="A109" i="12"/>
  <c r="A108" i="12"/>
  <c r="A107" i="12"/>
  <c r="A103" i="12"/>
  <c r="A102" i="12"/>
  <c r="A99" i="12"/>
  <c r="A98" i="12"/>
  <c r="A97" i="12"/>
  <c r="A96" i="12"/>
  <c r="A95" i="12"/>
  <c r="A94" i="12"/>
  <c r="A93" i="12"/>
  <c r="A92" i="12"/>
  <c r="A89" i="12"/>
  <c r="A88" i="12"/>
  <c r="A87" i="12"/>
  <c r="A86" i="12"/>
  <c r="A85" i="12"/>
  <c r="A84" i="12"/>
  <c r="A73" i="12"/>
  <c r="A72" i="12"/>
  <c r="A71" i="12"/>
  <c r="A70" i="12"/>
  <c r="A69" i="12"/>
  <c r="A68" i="12"/>
  <c r="A67" i="12"/>
  <c r="A66" i="12"/>
  <c r="A34" i="4"/>
  <c r="A16" i="4"/>
  <c r="A17" i="4"/>
  <c r="A18" i="4"/>
  <c r="A19" i="4"/>
  <c r="A20" i="4"/>
  <c r="A21" i="4"/>
  <c r="A22" i="4"/>
  <c r="A23" i="4"/>
  <c r="A24" i="4"/>
  <c r="A25" i="4"/>
  <c r="A26" i="4"/>
  <c r="A27" i="4"/>
  <c r="A28" i="4"/>
  <c r="A29" i="4"/>
  <c r="A15" i="4"/>
  <c r="D103" i="4"/>
  <c r="D102" i="4"/>
  <c r="D101" i="4"/>
  <c r="D100" i="4"/>
  <c r="D99" i="4"/>
  <c r="D98" i="4"/>
  <c r="D97" i="4"/>
  <c r="D96" i="4"/>
  <c r="D95" i="4"/>
  <c r="D94" i="4"/>
  <c r="D93" i="4"/>
  <c r="D92" i="4"/>
  <c r="D91" i="4"/>
  <c r="D90" i="4"/>
  <c r="D89" i="4"/>
  <c r="D88" i="4"/>
  <c r="D87" i="4"/>
  <c r="D86" i="4"/>
  <c r="D85" i="4"/>
  <c r="D84" i="4"/>
  <c r="D83" i="4"/>
  <c r="D82" i="4"/>
  <c r="D73" i="4"/>
  <c r="D72" i="4"/>
  <c r="D71" i="4"/>
  <c r="D70" i="4"/>
  <c r="D69" i="4"/>
  <c r="D64" i="4"/>
  <c r="A103" i="4"/>
  <c r="A102" i="4"/>
  <c r="A101" i="4"/>
  <c r="A100" i="4"/>
  <c r="A99" i="4"/>
  <c r="A98" i="4"/>
  <c r="A94" i="4"/>
  <c r="A93" i="4"/>
  <c r="A92" i="4"/>
  <c r="A91" i="4"/>
  <c r="A79" i="4"/>
  <c r="A78" i="4"/>
  <c r="A77" i="4"/>
  <c r="A76" i="4"/>
  <c r="A75" i="4"/>
  <c r="A74" i="4"/>
  <c r="A73" i="4"/>
  <c r="U421" i="2" l="1"/>
  <c r="V421" i="2" s="1"/>
  <c r="T421" i="2"/>
  <c r="S421" i="2"/>
  <c r="R421" i="2"/>
  <c r="Q421" i="2"/>
  <c r="P421" i="2"/>
  <c r="O421" i="2"/>
  <c r="N421" i="2"/>
  <c r="M421" i="2"/>
  <c r="L421" i="2"/>
  <c r="K421" i="2"/>
  <c r="J421" i="2"/>
  <c r="I421" i="2"/>
  <c r="U420" i="2"/>
  <c r="V420" i="2" s="1"/>
  <c r="T420" i="2"/>
  <c r="S420" i="2"/>
  <c r="R420" i="2"/>
  <c r="Q420" i="2"/>
  <c r="P420" i="2"/>
  <c r="O420" i="2"/>
  <c r="N420" i="2"/>
  <c r="M420" i="2"/>
  <c r="L420" i="2"/>
  <c r="K420" i="2"/>
  <c r="J420" i="2"/>
  <c r="I420" i="2"/>
  <c r="U419" i="2"/>
  <c r="V419" i="2" s="1"/>
  <c r="T419" i="2"/>
  <c r="S419" i="2"/>
  <c r="R419" i="2"/>
  <c r="Q419" i="2"/>
  <c r="P419" i="2"/>
  <c r="O419" i="2"/>
  <c r="N419" i="2"/>
  <c r="M419" i="2"/>
  <c r="L419" i="2"/>
  <c r="K419" i="2"/>
  <c r="J419" i="2"/>
  <c r="I419" i="2"/>
  <c r="U418" i="2"/>
  <c r="V418" i="2" s="1"/>
  <c r="T418" i="2"/>
  <c r="S418" i="2"/>
  <c r="R418" i="2"/>
  <c r="Q418" i="2"/>
  <c r="P418" i="2"/>
  <c r="O418" i="2"/>
  <c r="N418" i="2"/>
  <c r="M418" i="2"/>
  <c r="L418" i="2"/>
  <c r="K418" i="2"/>
  <c r="J418" i="2"/>
  <c r="I418" i="2"/>
  <c r="U417" i="2"/>
  <c r="V417" i="2" s="1"/>
  <c r="T417" i="2"/>
  <c r="S417" i="2"/>
  <c r="R417" i="2"/>
  <c r="Q417" i="2"/>
  <c r="P417" i="2"/>
  <c r="O417" i="2"/>
  <c r="N417" i="2"/>
  <c r="M417" i="2"/>
  <c r="L417" i="2"/>
  <c r="K417" i="2"/>
  <c r="J417" i="2"/>
  <c r="I417" i="2"/>
  <c r="U416" i="2"/>
  <c r="V416" i="2" s="1"/>
  <c r="T416" i="2"/>
  <c r="S416" i="2"/>
  <c r="R416" i="2"/>
  <c r="Q416" i="2"/>
  <c r="P416" i="2"/>
  <c r="O416" i="2"/>
  <c r="N416" i="2"/>
  <c r="M416" i="2"/>
  <c r="L416" i="2"/>
  <c r="K416" i="2"/>
  <c r="J416" i="2"/>
  <c r="I416" i="2"/>
  <c r="U415" i="2"/>
  <c r="V415" i="2" s="1"/>
  <c r="T415" i="2"/>
  <c r="S415" i="2"/>
  <c r="R415" i="2"/>
  <c r="Q415" i="2"/>
  <c r="P415" i="2"/>
  <c r="O415" i="2"/>
  <c r="N415" i="2"/>
  <c r="M415" i="2"/>
  <c r="L415" i="2"/>
  <c r="K415" i="2"/>
  <c r="J415" i="2"/>
  <c r="I415" i="2"/>
  <c r="U414" i="2"/>
  <c r="V414" i="2" s="1"/>
  <c r="T414" i="2"/>
  <c r="S414" i="2"/>
  <c r="R414" i="2"/>
  <c r="Q414" i="2"/>
  <c r="P414" i="2"/>
  <c r="O414" i="2"/>
  <c r="N414" i="2"/>
  <c r="M414" i="2"/>
  <c r="L414" i="2"/>
  <c r="K414" i="2"/>
  <c r="J414" i="2"/>
  <c r="I414" i="2"/>
  <c r="U413" i="2"/>
  <c r="V413" i="2" s="1"/>
  <c r="T413" i="2"/>
  <c r="S413" i="2"/>
  <c r="R413" i="2"/>
  <c r="Q413" i="2"/>
  <c r="P413" i="2"/>
  <c r="O413" i="2"/>
  <c r="N413" i="2"/>
  <c r="M413" i="2"/>
  <c r="L413" i="2"/>
  <c r="K413" i="2"/>
  <c r="J413" i="2"/>
  <c r="I413" i="2"/>
  <c r="U412" i="2"/>
  <c r="V412" i="2" s="1"/>
  <c r="T412" i="2"/>
  <c r="S412" i="2"/>
  <c r="R412" i="2"/>
  <c r="Q412" i="2"/>
  <c r="P412" i="2"/>
  <c r="O412" i="2"/>
  <c r="N412" i="2"/>
  <c r="M412" i="2"/>
  <c r="L412" i="2"/>
  <c r="K412" i="2"/>
  <c r="J412" i="2"/>
  <c r="I412" i="2"/>
  <c r="U411" i="2"/>
  <c r="V411" i="2" s="1"/>
  <c r="T411" i="2"/>
  <c r="S411" i="2"/>
  <c r="R411" i="2"/>
  <c r="Q411" i="2"/>
  <c r="P411" i="2"/>
  <c r="O411" i="2"/>
  <c r="N411" i="2"/>
  <c r="M411" i="2"/>
  <c r="L411" i="2"/>
  <c r="K411" i="2"/>
  <c r="J411" i="2"/>
  <c r="I411" i="2"/>
  <c r="F570" i="2"/>
  <c r="F565" i="2"/>
  <c r="F560" i="2"/>
  <c r="F555" i="2"/>
  <c r="F550" i="2"/>
  <c r="F545" i="2"/>
  <c r="F540" i="2"/>
  <c r="F535" i="2"/>
  <c r="F530" i="2"/>
  <c r="F525" i="2"/>
  <c r="F520" i="2"/>
  <c r="F515" i="2"/>
  <c r="F510" i="2"/>
  <c r="F505" i="2"/>
  <c r="F500" i="2"/>
  <c r="F495" i="2"/>
  <c r="F490" i="2"/>
  <c r="F485" i="2"/>
  <c r="F480" i="2"/>
  <c r="F475" i="2"/>
  <c r="F470" i="2"/>
  <c r="F465" i="2"/>
  <c r="F460" i="2"/>
  <c r="F450" i="2"/>
  <c r="F439" i="2"/>
  <c r="F436" i="2"/>
  <c r="F429" i="2"/>
  <c r="F427" i="2"/>
  <c r="F423" i="2"/>
  <c r="F402" i="2"/>
  <c r="F397" i="2"/>
  <c r="F392" i="2"/>
  <c r="F387" i="2"/>
  <c r="F382" i="2"/>
  <c r="F377" i="2"/>
  <c r="F372" i="2"/>
  <c r="F366" i="2"/>
  <c r="F361" i="2"/>
  <c r="F343" i="2"/>
  <c r="F338" i="2"/>
  <c r="F333" i="2"/>
  <c r="F328" i="2"/>
  <c r="F323" i="2"/>
  <c r="F318" i="2"/>
  <c r="F313" i="2"/>
  <c r="F308" i="2"/>
  <c r="F303" i="2"/>
  <c r="F298" i="2"/>
  <c r="F293" i="2"/>
  <c r="F288" i="2"/>
  <c r="F283" i="2"/>
  <c r="F278" i="2"/>
  <c r="F267" i="2"/>
  <c r="F262" i="2"/>
  <c r="F257" i="2"/>
  <c r="F252" i="2"/>
  <c r="F247" i="2"/>
  <c r="F242" i="2"/>
  <c r="F237" i="2"/>
  <c r="F234" i="2"/>
  <c r="F231" i="2"/>
  <c r="F227" i="2"/>
  <c r="F222" i="2"/>
  <c r="F210" i="2"/>
  <c r="F203" i="2"/>
  <c r="F197" i="2"/>
  <c r="F184" i="2"/>
  <c r="F178" i="2"/>
  <c r="F173" i="2"/>
  <c r="F168" i="2"/>
  <c r="F163" i="2"/>
  <c r="F158" i="2"/>
  <c r="F153" i="2"/>
  <c r="F148" i="2"/>
  <c r="F143" i="2"/>
  <c r="F138" i="2"/>
  <c r="F124" i="2"/>
  <c r="F119" i="2"/>
  <c r="F110" i="2"/>
  <c r="F104" i="2"/>
  <c r="F94" i="2"/>
  <c r="F81" i="2"/>
  <c r="F75" i="2"/>
  <c r="F40" i="2"/>
  <c r="F34" i="2"/>
  <c r="F24" i="2"/>
  <c r="F17" i="2"/>
  <c r="L83" i="28" l="1"/>
  <c r="P70" i="28"/>
  <c r="F1" i="26" l="1"/>
  <c r="E1" i="26"/>
  <c r="F246" i="26"/>
  <c r="G246" i="26"/>
  <c r="H246" i="26"/>
  <c r="I246" i="26"/>
  <c r="J246" i="26"/>
  <c r="K246" i="26"/>
  <c r="L246" i="26"/>
  <c r="M246" i="26"/>
  <c r="N246" i="26"/>
  <c r="P246" i="26"/>
  <c r="Q246" i="26"/>
  <c r="R246" i="26"/>
  <c r="E246" i="26"/>
  <c r="A88" i="20" l="1"/>
  <c r="A89" i="20"/>
  <c r="A92" i="20"/>
  <c r="A93" i="20"/>
  <c r="A94" i="20"/>
  <c r="A101" i="20"/>
  <c r="A102" i="20"/>
  <c r="A103" i="20"/>
  <c r="A104" i="20"/>
  <c r="A105" i="20"/>
  <c r="A106" i="20"/>
  <c r="A107" i="20"/>
  <c r="A109" i="20"/>
  <c r="A125" i="20"/>
  <c r="A44" i="20"/>
  <c r="A45" i="20"/>
  <c r="A46" i="20"/>
  <c r="A47" i="20"/>
  <c r="A48" i="20"/>
  <c r="A49" i="20"/>
  <c r="A50" i="20"/>
  <c r="A51" i="20"/>
  <c r="A52" i="20"/>
  <c r="A53" i="20"/>
  <c r="A54" i="20"/>
  <c r="A63" i="20"/>
  <c r="A64" i="20"/>
  <c r="A65" i="20"/>
  <c r="A66" i="20"/>
  <c r="A67" i="20"/>
  <c r="A68" i="20"/>
  <c r="A69" i="20"/>
  <c r="A70" i="20"/>
  <c r="A71" i="20"/>
  <c r="A73" i="20"/>
  <c r="A78" i="20"/>
  <c r="A85" i="20"/>
  <c r="A100" i="19"/>
  <c r="A101" i="19"/>
  <c r="A104" i="19"/>
  <c r="A105" i="19"/>
  <c r="A106" i="19"/>
  <c r="A113" i="19"/>
  <c r="A114" i="19"/>
  <c r="A115" i="19"/>
  <c r="A116" i="19"/>
  <c r="A117" i="19"/>
  <c r="A118" i="19"/>
  <c r="A119" i="19"/>
  <c r="A134" i="19"/>
  <c r="A75" i="19"/>
  <c r="A76" i="19"/>
  <c r="A77" i="19"/>
  <c r="A78" i="19"/>
  <c r="A79" i="19"/>
  <c r="A80" i="19"/>
  <c r="A81" i="19"/>
  <c r="A82" i="19"/>
  <c r="A83" i="19"/>
  <c r="A90" i="19"/>
  <c r="A96" i="19"/>
  <c r="A55" i="19"/>
  <c r="A56" i="19"/>
  <c r="A57" i="19"/>
  <c r="A58" i="19"/>
  <c r="A59" i="19"/>
  <c r="A60" i="19"/>
  <c r="A61" i="19"/>
  <c r="A62" i="19"/>
  <c r="A63" i="19"/>
  <c r="A64" i="19"/>
  <c r="A65" i="19"/>
  <c r="A66" i="19"/>
  <c r="N138" i="12"/>
  <c r="A119" i="12"/>
  <c r="A118" i="12"/>
  <c r="A117" i="12"/>
  <c r="A116" i="12"/>
  <c r="A115" i="12"/>
  <c r="A114" i="12"/>
  <c r="A113" i="12"/>
  <c r="A106" i="12"/>
  <c r="A105" i="12"/>
  <c r="A104" i="12"/>
  <c r="A101" i="12"/>
  <c r="A100" i="12"/>
  <c r="A91" i="12"/>
  <c r="A90" i="12"/>
  <c r="A83" i="12"/>
  <c r="A82" i="12"/>
  <c r="A81" i="12"/>
  <c r="A80" i="12"/>
  <c r="A79" i="12"/>
  <c r="A78" i="12"/>
  <c r="A76" i="12"/>
  <c r="A75" i="12"/>
  <c r="A74" i="12"/>
  <c r="A65" i="12"/>
  <c r="A64" i="12"/>
  <c r="A62" i="12"/>
  <c r="A61" i="12"/>
  <c r="A60" i="12"/>
  <c r="A59" i="12"/>
  <c r="A58" i="12"/>
  <c r="A57" i="12"/>
  <c r="A56" i="12"/>
  <c r="A55" i="12"/>
  <c r="A54" i="12"/>
  <c r="A130" i="20"/>
  <c r="A141" i="19"/>
  <c r="A126" i="20"/>
  <c r="A137" i="19"/>
  <c r="A122" i="20"/>
  <c r="A133" i="19"/>
  <c r="A118" i="20"/>
  <c r="A129" i="19"/>
  <c r="A114" i="20"/>
  <c r="A125" i="19"/>
  <c r="A110" i="20"/>
  <c r="A121" i="19"/>
  <c r="A97" i="19"/>
  <c r="A84" i="20"/>
  <c r="A93" i="19"/>
  <c r="A80" i="20"/>
  <c r="A89" i="19"/>
  <c r="A85" i="19"/>
  <c r="A62" i="20"/>
  <c r="A73" i="19"/>
  <c r="A58" i="20"/>
  <c r="A69" i="19"/>
  <c r="A55" i="20"/>
  <c r="A98" i="20"/>
  <c r="A90" i="20"/>
  <c r="A96" i="4"/>
  <c r="E103" i="4"/>
  <c r="N140" i="12"/>
  <c r="E99" i="4"/>
  <c r="E97" i="4"/>
  <c r="F136" i="19" s="1"/>
  <c r="E96" i="4"/>
  <c r="I96" i="4" s="1"/>
  <c r="N134" i="12"/>
  <c r="U545" i="2"/>
  <c r="T545" i="2"/>
  <c r="S545" i="2"/>
  <c r="R545" i="2"/>
  <c r="Q545" i="2"/>
  <c r="P545" i="2"/>
  <c r="O545" i="2"/>
  <c r="N545" i="2"/>
  <c r="M545" i="2"/>
  <c r="L545" i="2"/>
  <c r="K545" i="2"/>
  <c r="J545" i="2"/>
  <c r="I545" i="2"/>
  <c r="U544" i="2"/>
  <c r="T544" i="2"/>
  <c r="M137" i="12" s="1"/>
  <c r="S544" i="2"/>
  <c r="R544" i="2"/>
  <c r="Q544" i="2"/>
  <c r="P544" i="2"/>
  <c r="I137" i="12" s="1"/>
  <c r="O544" i="2"/>
  <c r="N544" i="2"/>
  <c r="M544" i="2"/>
  <c r="L544" i="2"/>
  <c r="E137" i="12" s="1"/>
  <c r="K544" i="2"/>
  <c r="J544" i="2"/>
  <c r="I544" i="2"/>
  <c r="U543" i="2"/>
  <c r="T543" i="2"/>
  <c r="S543" i="2"/>
  <c r="R543" i="2"/>
  <c r="Q543" i="2"/>
  <c r="P543" i="2"/>
  <c r="O543" i="2"/>
  <c r="N543" i="2"/>
  <c r="M543" i="2"/>
  <c r="L543" i="2"/>
  <c r="K543" i="2"/>
  <c r="J543" i="2"/>
  <c r="I543" i="2"/>
  <c r="U542" i="2"/>
  <c r="T542" i="2"/>
  <c r="S542" i="2"/>
  <c r="R542" i="2"/>
  <c r="K137" i="12" s="1"/>
  <c r="Q542" i="2"/>
  <c r="P542" i="2"/>
  <c r="O542" i="2"/>
  <c r="N542" i="2"/>
  <c r="G137" i="12" s="1"/>
  <c r="M542" i="2"/>
  <c r="L542" i="2"/>
  <c r="K542" i="2"/>
  <c r="J542" i="2"/>
  <c r="C137" i="12" s="1"/>
  <c r="I542" i="2"/>
  <c r="U550" i="2"/>
  <c r="T550" i="2"/>
  <c r="S550" i="2"/>
  <c r="R550" i="2"/>
  <c r="Q550" i="2"/>
  <c r="P550" i="2"/>
  <c r="O550" i="2"/>
  <c r="N550" i="2"/>
  <c r="M550" i="2"/>
  <c r="L550" i="2"/>
  <c r="K550" i="2"/>
  <c r="J550" i="2"/>
  <c r="I550" i="2"/>
  <c r="U549" i="2"/>
  <c r="T549" i="2"/>
  <c r="S549" i="2"/>
  <c r="R549" i="2"/>
  <c r="Q549" i="2"/>
  <c r="P549" i="2"/>
  <c r="I138" i="12" s="1"/>
  <c r="O549" i="2"/>
  <c r="N549" i="2"/>
  <c r="M549" i="2"/>
  <c r="L549" i="2"/>
  <c r="K549" i="2"/>
  <c r="J549" i="2"/>
  <c r="I549" i="2"/>
  <c r="U548" i="2"/>
  <c r="T548" i="2"/>
  <c r="S548" i="2"/>
  <c r="R548" i="2"/>
  <c r="Q548" i="2"/>
  <c r="P548" i="2"/>
  <c r="O548" i="2"/>
  <c r="N548" i="2"/>
  <c r="M548" i="2"/>
  <c r="L548" i="2"/>
  <c r="K548" i="2"/>
  <c r="J548" i="2"/>
  <c r="I548" i="2"/>
  <c r="U547" i="2"/>
  <c r="T547" i="2"/>
  <c r="S547" i="2"/>
  <c r="R547" i="2"/>
  <c r="K138" i="12" s="1"/>
  <c r="Q547" i="2"/>
  <c r="P547" i="2"/>
  <c r="O547" i="2"/>
  <c r="N547" i="2"/>
  <c r="G138" i="12" s="1"/>
  <c r="M547" i="2"/>
  <c r="L547" i="2"/>
  <c r="K547" i="2"/>
  <c r="J547" i="2"/>
  <c r="C138" i="12" s="1"/>
  <c r="I547" i="2"/>
  <c r="U540" i="2"/>
  <c r="T540" i="2"/>
  <c r="S540" i="2"/>
  <c r="L136" i="12" s="1"/>
  <c r="R540" i="2"/>
  <c r="Q540" i="2"/>
  <c r="P540" i="2"/>
  <c r="O540" i="2"/>
  <c r="H136" i="12" s="1"/>
  <c r="N540" i="2"/>
  <c r="M540" i="2"/>
  <c r="L540" i="2"/>
  <c r="K540" i="2"/>
  <c r="D136" i="12" s="1"/>
  <c r="J540" i="2"/>
  <c r="I540" i="2"/>
  <c r="U539" i="2"/>
  <c r="T539" i="2"/>
  <c r="S539" i="2"/>
  <c r="R539" i="2"/>
  <c r="Q539" i="2"/>
  <c r="P539" i="2"/>
  <c r="O539" i="2"/>
  <c r="N539" i="2"/>
  <c r="M539" i="2"/>
  <c r="L539" i="2"/>
  <c r="K539" i="2"/>
  <c r="J539" i="2"/>
  <c r="I539" i="2"/>
  <c r="U538" i="2"/>
  <c r="T538" i="2"/>
  <c r="S538" i="2"/>
  <c r="R538" i="2"/>
  <c r="Q538" i="2"/>
  <c r="P538" i="2"/>
  <c r="O538" i="2"/>
  <c r="N538" i="2"/>
  <c r="M538" i="2"/>
  <c r="L538" i="2"/>
  <c r="K538" i="2"/>
  <c r="J538" i="2"/>
  <c r="I538" i="2"/>
  <c r="U537" i="2"/>
  <c r="T537" i="2"/>
  <c r="S537" i="2"/>
  <c r="R537" i="2"/>
  <c r="K136" i="12" s="1"/>
  <c r="Q537" i="2"/>
  <c r="P537" i="2"/>
  <c r="O537" i="2"/>
  <c r="N537" i="2"/>
  <c r="G136" i="12" s="1"/>
  <c r="M537" i="2"/>
  <c r="L537" i="2"/>
  <c r="K537" i="2"/>
  <c r="J537" i="2"/>
  <c r="C136" i="12" s="1"/>
  <c r="I537" i="2"/>
  <c r="U535" i="2"/>
  <c r="T535" i="2"/>
  <c r="S535" i="2"/>
  <c r="R535" i="2"/>
  <c r="Q535" i="2"/>
  <c r="P535" i="2"/>
  <c r="O535" i="2"/>
  <c r="N535" i="2"/>
  <c r="M535" i="2"/>
  <c r="L535" i="2"/>
  <c r="K535" i="2"/>
  <c r="J535" i="2"/>
  <c r="I535" i="2"/>
  <c r="U534" i="2"/>
  <c r="T534" i="2"/>
  <c r="S534" i="2"/>
  <c r="R534" i="2"/>
  <c r="Q534" i="2"/>
  <c r="P534" i="2"/>
  <c r="O534" i="2"/>
  <c r="N534" i="2"/>
  <c r="M534" i="2"/>
  <c r="L534" i="2"/>
  <c r="K534" i="2"/>
  <c r="J534" i="2"/>
  <c r="I534" i="2"/>
  <c r="U533" i="2"/>
  <c r="T533" i="2"/>
  <c r="S533" i="2"/>
  <c r="R533" i="2"/>
  <c r="Q533" i="2"/>
  <c r="J135" i="12" s="1"/>
  <c r="P533" i="2"/>
  <c r="O533" i="2"/>
  <c r="N533" i="2"/>
  <c r="M533" i="2"/>
  <c r="F135" i="12" s="1"/>
  <c r="L533" i="2"/>
  <c r="K533" i="2"/>
  <c r="J533" i="2"/>
  <c r="I533" i="2"/>
  <c r="B135" i="12" s="1"/>
  <c r="U532" i="2"/>
  <c r="T532" i="2"/>
  <c r="S532" i="2"/>
  <c r="R532" i="2"/>
  <c r="K135" i="12" s="1"/>
  <c r="Q532" i="2"/>
  <c r="P532" i="2"/>
  <c r="O532" i="2"/>
  <c r="N532" i="2"/>
  <c r="G135" i="12" s="1"/>
  <c r="M532" i="2"/>
  <c r="L532" i="2"/>
  <c r="K532" i="2"/>
  <c r="J532" i="2"/>
  <c r="C135" i="12" s="1"/>
  <c r="I532" i="2"/>
  <c r="B130" i="20" l="1"/>
  <c r="F142" i="19"/>
  <c r="H135" i="12"/>
  <c r="D138" i="12"/>
  <c r="H138" i="12"/>
  <c r="L138" i="12"/>
  <c r="D137" i="12"/>
  <c r="H137" i="12"/>
  <c r="L137" i="12"/>
  <c r="B126" i="20"/>
  <c r="F138" i="19"/>
  <c r="D135" i="12"/>
  <c r="L135" i="12"/>
  <c r="E135" i="12"/>
  <c r="I135" i="12"/>
  <c r="M135" i="12"/>
  <c r="E136" i="12"/>
  <c r="I136" i="12"/>
  <c r="M136" i="12"/>
  <c r="E138" i="12"/>
  <c r="M138" i="12"/>
  <c r="B136" i="12"/>
  <c r="F136" i="12"/>
  <c r="J136" i="12"/>
  <c r="B137" i="12"/>
  <c r="F137" i="12"/>
  <c r="J137" i="12"/>
  <c r="A103" i="19"/>
  <c r="A91" i="20"/>
  <c r="A109" i="19"/>
  <c r="A97" i="20"/>
  <c r="A71" i="19"/>
  <c r="A59" i="20"/>
  <c r="A72" i="20"/>
  <c r="A84" i="19"/>
  <c r="A76" i="20"/>
  <c r="A88" i="19"/>
  <c r="A82" i="20"/>
  <c r="A94" i="19"/>
  <c r="A123" i="19"/>
  <c r="A111" i="20"/>
  <c r="A135" i="19"/>
  <c r="A123" i="20"/>
  <c r="W537" i="2"/>
  <c r="F135" i="19"/>
  <c r="B123" i="20"/>
  <c r="E100" i="4"/>
  <c r="N139" i="12"/>
  <c r="A79" i="20"/>
  <c r="A91" i="19"/>
  <c r="A68" i="19"/>
  <c r="A56" i="20"/>
  <c r="A72" i="19"/>
  <c r="A60" i="20"/>
  <c r="A83" i="20"/>
  <c r="A95" i="19"/>
  <c r="A120" i="19"/>
  <c r="A108" i="20"/>
  <c r="A124" i="19"/>
  <c r="A112" i="20"/>
  <c r="A128" i="19"/>
  <c r="A116" i="20"/>
  <c r="A132" i="19"/>
  <c r="A120" i="20"/>
  <c r="A136" i="19"/>
  <c r="A124" i="20"/>
  <c r="A140" i="19"/>
  <c r="A128" i="20"/>
  <c r="N135" i="12"/>
  <c r="A92" i="19"/>
  <c r="A130" i="19"/>
  <c r="A81" i="20"/>
  <c r="A121" i="20"/>
  <c r="A86" i="20"/>
  <c r="A98" i="19"/>
  <c r="A127" i="19"/>
  <c r="A115" i="20"/>
  <c r="A139" i="19"/>
  <c r="A127" i="20"/>
  <c r="E101" i="4"/>
  <c r="A107" i="19"/>
  <c r="A95" i="20"/>
  <c r="A111" i="19"/>
  <c r="A99" i="20"/>
  <c r="A74" i="20"/>
  <c r="A86" i="19"/>
  <c r="N136" i="12"/>
  <c r="A74" i="19"/>
  <c r="A142" i="19"/>
  <c r="A126" i="19"/>
  <c r="A61" i="20"/>
  <c r="A117" i="20"/>
  <c r="B124" i="20"/>
  <c r="A131" i="19"/>
  <c r="A119" i="20"/>
  <c r="B138" i="12"/>
  <c r="F138" i="12"/>
  <c r="J138" i="12"/>
  <c r="E98" i="4"/>
  <c r="N137" i="12"/>
  <c r="E102" i="4"/>
  <c r="N141" i="12"/>
  <c r="A99" i="19"/>
  <c r="A87" i="20"/>
  <c r="A108" i="19"/>
  <c r="A96" i="20"/>
  <c r="A112" i="19"/>
  <c r="A100" i="20"/>
  <c r="A75" i="20"/>
  <c r="A87" i="19"/>
  <c r="A70" i="19"/>
  <c r="A138" i="19"/>
  <c r="A122" i="19"/>
  <c r="A110" i="19"/>
  <c r="A102" i="19"/>
  <c r="A77" i="20"/>
  <c r="A57" i="20"/>
  <c r="A129" i="20"/>
  <c r="A113" i="20"/>
  <c r="V547" i="2"/>
  <c r="W542" i="2"/>
  <c r="V543" i="2"/>
  <c r="W544" i="2"/>
  <c r="W543" i="2"/>
  <c r="W545" i="2"/>
  <c r="V534" i="2"/>
  <c r="V542" i="2"/>
  <c r="V544" i="2"/>
  <c r="V545" i="2"/>
  <c r="W539" i="2"/>
  <c r="V548" i="2"/>
  <c r="W532" i="2"/>
  <c r="W535" i="2"/>
  <c r="W549" i="2"/>
  <c r="V549" i="2"/>
  <c r="W533" i="2"/>
  <c r="V535" i="2"/>
  <c r="V537" i="2"/>
  <c r="W540" i="2"/>
  <c r="W548" i="2"/>
  <c r="W534" i="2"/>
  <c r="W538" i="2"/>
  <c r="V538" i="2"/>
  <c r="W547" i="2"/>
  <c r="W550" i="2"/>
  <c r="V533" i="2"/>
  <c r="V539" i="2"/>
  <c r="V540" i="2"/>
  <c r="V532" i="2"/>
  <c r="V550" i="2"/>
  <c r="U397" i="2"/>
  <c r="T397" i="2"/>
  <c r="S397" i="2"/>
  <c r="R397" i="2"/>
  <c r="Q397" i="2"/>
  <c r="P397" i="2"/>
  <c r="O397" i="2"/>
  <c r="N397" i="2"/>
  <c r="M397" i="2"/>
  <c r="L397" i="2"/>
  <c r="K397" i="2"/>
  <c r="J397" i="2"/>
  <c r="I397" i="2"/>
  <c r="U396" i="2"/>
  <c r="T396" i="2"/>
  <c r="S396" i="2"/>
  <c r="R396" i="2"/>
  <c r="Q396" i="2"/>
  <c r="P396" i="2"/>
  <c r="O396" i="2"/>
  <c r="N396" i="2"/>
  <c r="M396" i="2"/>
  <c r="L396" i="2"/>
  <c r="K396" i="2"/>
  <c r="J396" i="2"/>
  <c r="I396" i="2"/>
  <c r="U395" i="2"/>
  <c r="T395" i="2"/>
  <c r="S395" i="2"/>
  <c r="R395" i="2"/>
  <c r="Q395" i="2"/>
  <c r="P395" i="2"/>
  <c r="O395" i="2"/>
  <c r="N395" i="2"/>
  <c r="M395" i="2"/>
  <c r="L395" i="2"/>
  <c r="K395" i="2"/>
  <c r="J395" i="2"/>
  <c r="I395" i="2"/>
  <c r="U394" i="2"/>
  <c r="T394" i="2"/>
  <c r="S394" i="2"/>
  <c r="R394" i="2"/>
  <c r="K111" i="12" s="1"/>
  <c r="Q394" i="2"/>
  <c r="P394" i="2"/>
  <c r="O394" i="2"/>
  <c r="N394" i="2"/>
  <c r="G111" i="12" s="1"/>
  <c r="M394" i="2"/>
  <c r="L394" i="2"/>
  <c r="K394" i="2"/>
  <c r="J394" i="2"/>
  <c r="C111" i="12" s="1"/>
  <c r="I394" i="2"/>
  <c r="U392" i="2"/>
  <c r="T392" i="2"/>
  <c r="S392" i="2"/>
  <c r="R392" i="2"/>
  <c r="Q392" i="2"/>
  <c r="P392" i="2"/>
  <c r="O392" i="2"/>
  <c r="N392" i="2"/>
  <c r="M392" i="2"/>
  <c r="L392" i="2"/>
  <c r="K392" i="2"/>
  <c r="J392" i="2"/>
  <c r="I392" i="2"/>
  <c r="U391" i="2"/>
  <c r="T391" i="2"/>
  <c r="S391" i="2"/>
  <c r="R391" i="2"/>
  <c r="Q391" i="2"/>
  <c r="P391" i="2"/>
  <c r="O391" i="2"/>
  <c r="N391" i="2"/>
  <c r="M391" i="2"/>
  <c r="L391" i="2"/>
  <c r="K391" i="2"/>
  <c r="J391" i="2"/>
  <c r="I391" i="2"/>
  <c r="U390" i="2"/>
  <c r="T390" i="2"/>
  <c r="S390" i="2"/>
  <c r="R390" i="2"/>
  <c r="Q390" i="2"/>
  <c r="P390" i="2"/>
  <c r="O390" i="2"/>
  <c r="N390" i="2"/>
  <c r="M390" i="2"/>
  <c r="L390" i="2"/>
  <c r="K390" i="2"/>
  <c r="J390" i="2"/>
  <c r="I390" i="2"/>
  <c r="U389" i="2"/>
  <c r="T389" i="2"/>
  <c r="S389" i="2"/>
  <c r="L110" i="12" s="1"/>
  <c r="R389" i="2"/>
  <c r="Q389" i="2"/>
  <c r="P389" i="2"/>
  <c r="O389" i="2"/>
  <c r="H110" i="12" s="1"/>
  <c r="N389" i="2"/>
  <c r="M389" i="2"/>
  <c r="L389" i="2"/>
  <c r="K389" i="2"/>
  <c r="D110" i="12" s="1"/>
  <c r="J389" i="2"/>
  <c r="I389" i="2"/>
  <c r="U387" i="2"/>
  <c r="T387" i="2"/>
  <c r="S387" i="2"/>
  <c r="R387" i="2"/>
  <c r="Q387" i="2"/>
  <c r="P387" i="2"/>
  <c r="O387" i="2"/>
  <c r="N387" i="2"/>
  <c r="M387" i="2"/>
  <c r="L387" i="2"/>
  <c r="K387" i="2"/>
  <c r="J387" i="2"/>
  <c r="I387" i="2"/>
  <c r="U386" i="2"/>
  <c r="T386" i="2"/>
  <c r="S386" i="2"/>
  <c r="R386" i="2"/>
  <c r="Q386" i="2"/>
  <c r="P386" i="2"/>
  <c r="O386" i="2"/>
  <c r="N386" i="2"/>
  <c r="M386" i="2"/>
  <c r="L386" i="2"/>
  <c r="K386" i="2"/>
  <c r="J386" i="2"/>
  <c r="I386" i="2"/>
  <c r="U385" i="2"/>
  <c r="T385" i="2"/>
  <c r="S385" i="2"/>
  <c r="R385" i="2"/>
  <c r="Q385" i="2"/>
  <c r="P385" i="2"/>
  <c r="O385" i="2"/>
  <c r="N385" i="2"/>
  <c r="M385" i="2"/>
  <c r="L385" i="2"/>
  <c r="K385" i="2"/>
  <c r="J385" i="2"/>
  <c r="I385" i="2"/>
  <c r="U384" i="2"/>
  <c r="T384" i="2"/>
  <c r="M109" i="12" s="1"/>
  <c r="S384" i="2"/>
  <c r="R384" i="2"/>
  <c r="Q384" i="2"/>
  <c r="P384" i="2"/>
  <c r="I109" i="12" s="1"/>
  <c r="O384" i="2"/>
  <c r="N384" i="2"/>
  <c r="M384" i="2"/>
  <c r="L384" i="2"/>
  <c r="E109" i="12" s="1"/>
  <c r="K384" i="2"/>
  <c r="J384" i="2"/>
  <c r="I384" i="2"/>
  <c r="W324" i="2"/>
  <c r="U323" i="2"/>
  <c r="T323" i="2"/>
  <c r="S323" i="2"/>
  <c r="R323" i="2"/>
  <c r="Q323" i="2"/>
  <c r="P323" i="2"/>
  <c r="O323" i="2"/>
  <c r="N323" i="2"/>
  <c r="M323" i="2"/>
  <c r="L323" i="2"/>
  <c r="K323" i="2"/>
  <c r="J323" i="2"/>
  <c r="I323" i="2"/>
  <c r="U322" i="2"/>
  <c r="T322" i="2"/>
  <c r="S322" i="2"/>
  <c r="R322" i="2"/>
  <c r="Q322" i="2"/>
  <c r="P322" i="2"/>
  <c r="O322" i="2"/>
  <c r="N322" i="2"/>
  <c r="M322" i="2"/>
  <c r="L322" i="2"/>
  <c r="K322" i="2"/>
  <c r="J322" i="2"/>
  <c r="I322" i="2"/>
  <c r="U321" i="2"/>
  <c r="T321" i="2"/>
  <c r="S321" i="2"/>
  <c r="R321" i="2"/>
  <c r="Q321" i="2"/>
  <c r="P321" i="2"/>
  <c r="O321" i="2"/>
  <c r="N321" i="2"/>
  <c r="M321" i="2"/>
  <c r="L321" i="2"/>
  <c r="K321" i="2"/>
  <c r="J321" i="2"/>
  <c r="I321" i="2"/>
  <c r="U320" i="2"/>
  <c r="T320" i="2"/>
  <c r="S320" i="2"/>
  <c r="R320" i="2"/>
  <c r="K99" i="12" s="1"/>
  <c r="Q320" i="2"/>
  <c r="P320" i="2"/>
  <c r="O320" i="2"/>
  <c r="N320" i="2"/>
  <c r="G99" i="12" s="1"/>
  <c r="M320" i="2"/>
  <c r="L320" i="2"/>
  <c r="K320" i="2"/>
  <c r="J320" i="2"/>
  <c r="C99" i="12" s="1"/>
  <c r="I320" i="2"/>
  <c r="W319" i="2"/>
  <c r="U318" i="2"/>
  <c r="T318" i="2"/>
  <c r="S318" i="2"/>
  <c r="R318" i="2"/>
  <c r="Q318" i="2"/>
  <c r="P318" i="2"/>
  <c r="O318" i="2"/>
  <c r="N318" i="2"/>
  <c r="M318" i="2"/>
  <c r="L318" i="2"/>
  <c r="K318" i="2"/>
  <c r="J318" i="2"/>
  <c r="I318" i="2"/>
  <c r="U317" i="2"/>
  <c r="T317" i="2"/>
  <c r="S317" i="2"/>
  <c r="R317" i="2"/>
  <c r="Q317" i="2"/>
  <c r="P317" i="2"/>
  <c r="O317" i="2"/>
  <c r="N317" i="2"/>
  <c r="M317" i="2"/>
  <c r="L317" i="2"/>
  <c r="K317" i="2"/>
  <c r="J317" i="2"/>
  <c r="I317" i="2"/>
  <c r="U316" i="2"/>
  <c r="T316" i="2"/>
  <c r="S316" i="2"/>
  <c r="R316" i="2"/>
  <c r="Q316" i="2"/>
  <c r="P316" i="2"/>
  <c r="O316" i="2"/>
  <c r="N316" i="2"/>
  <c r="M316" i="2"/>
  <c r="L316" i="2"/>
  <c r="K316" i="2"/>
  <c r="J316" i="2"/>
  <c r="I316" i="2"/>
  <c r="U315" i="2"/>
  <c r="T315" i="2"/>
  <c r="M98" i="12" s="1"/>
  <c r="S315" i="2"/>
  <c r="R315" i="2"/>
  <c r="Q315" i="2"/>
  <c r="J98" i="12" s="1"/>
  <c r="P315" i="2"/>
  <c r="I98" i="12" s="1"/>
  <c r="O315" i="2"/>
  <c r="N315" i="2"/>
  <c r="M315" i="2"/>
  <c r="F98" i="12" s="1"/>
  <c r="L315" i="2"/>
  <c r="K315" i="2"/>
  <c r="J315" i="2"/>
  <c r="I315" i="2"/>
  <c r="B98" i="12" s="1"/>
  <c r="W314" i="2"/>
  <c r="U313" i="2"/>
  <c r="T313" i="2"/>
  <c r="S313" i="2"/>
  <c r="R313" i="2"/>
  <c r="Q313" i="2"/>
  <c r="P313" i="2"/>
  <c r="O313" i="2"/>
  <c r="N313" i="2"/>
  <c r="M313" i="2"/>
  <c r="L313" i="2"/>
  <c r="K313" i="2"/>
  <c r="J313" i="2"/>
  <c r="I313" i="2"/>
  <c r="U312" i="2"/>
  <c r="T312" i="2"/>
  <c r="S312" i="2"/>
  <c r="R312" i="2"/>
  <c r="Q312" i="2"/>
  <c r="P312" i="2"/>
  <c r="O312" i="2"/>
  <c r="N312" i="2"/>
  <c r="M312" i="2"/>
  <c r="L312" i="2"/>
  <c r="K312" i="2"/>
  <c r="J312" i="2"/>
  <c r="I312" i="2"/>
  <c r="U311" i="2"/>
  <c r="T311" i="2"/>
  <c r="S311" i="2"/>
  <c r="R311" i="2"/>
  <c r="Q311" i="2"/>
  <c r="P311" i="2"/>
  <c r="O311" i="2"/>
  <c r="N311" i="2"/>
  <c r="M311" i="2"/>
  <c r="L311" i="2"/>
  <c r="K311" i="2"/>
  <c r="J311" i="2"/>
  <c r="I311" i="2"/>
  <c r="U310" i="2"/>
  <c r="T310" i="2"/>
  <c r="S310" i="2"/>
  <c r="L97" i="12" s="1"/>
  <c r="R310" i="2"/>
  <c r="K97" i="12" s="1"/>
  <c r="Q310" i="2"/>
  <c r="P310" i="2"/>
  <c r="O310" i="2"/>
  <c r="H97" i="12" s="1"/>
  <c r="N310" i="2"/>
  <c r="G97" i="12" s="1"/>
  <c r="M310" i="2"/>
  <c r="L310" i="2"/>
  <c r="K310" i="2"/>
  <c r="J310" i="2"/>
  <c r="C97" i="12" s="1"/>
  <c r="I310" i="2"/>
  <c r="W310" i="2" l="1"/>
  <c r="D97" i="12"/>
  <c r="M97" i="12"/>
  <c r="B102" i="4"/>
  <c r="I102" i="4" s="1"/>
  <c r="N97" i="12"/>
  <c r="C98" i="12"/>
  <c r="G98" i="12"/>
  <c r="K98" i="12"/>
  <c r="E99" i="12"/>
  <c r="I99" i="12"/>
  <c r="M99" i="12"/>
  <c r="E60" i="4"/>
  <c r="I60" i="4" s="1"/>
  <c r="N99" i="12"/>
  <c r="C109" i="12"/>
  <c r="G109" i="12"/>
  <c r="K109" i="12"/>
  <c r="B110" i="12"/>
  <c r="F110" i="12"/>
  <c r="J110" i="12"/>
  <c r="E111" i="12"/>
  <c r="I111" i="12"/>
  <c r="M111" i="12"/>
  <c r="E72" i="4"/>
  <c r="N111" i="12"/>
  <c r="F140" i="19"/>
  <c r="B128" i="20"/>
  <c r="E98" i="12"/>
  <c r="B103" i="4"/>
  <c r="I103" i="4" s="1"/>
  <c r="N98" i="12"/>
  <c r="E70" i="4"/>
  <c r="I70" i="4" s="1"/>
  <c r="N109" i="12"/>
  <c r="E97" i="12"/>
  <c r="I97" i="12"/>
  <c r="B97" i="12"/>
  <c r="F97" i="12"/>
  <c r="J97" i="12"/>
  <c r="D98" i="12"/>
  <c r="H98" i="12"/>
  <c r="L98" i="12"/>
  <c r="B99" i="12"/>
  <c r="F99" i="12"/>
  <c r="J99" i="12"/>
  <c r="D109" i="12"/>
  <c r="H109" i="12"/>
  <c r="L109" i="12"/>
  <c r="C110" i="12"/>
  <c r="G110" i="12"/>
  <c r="K110" i="12"/>
  <c r="B111" i="12"/>
  <c r="F111" i="12"/>
  <c r="J111" i="12"/>
  <c r="B125" i="20"/>
  <c r="F137" i="19"/>
  <c r="F139" i="19"/>
  <c r="B127" i="20"/>
  <c r="W317" i="2"/>
  <c r="W320" i="2"/>
  <c r="D99" i="12"/>
  <c r="H99" i="12"/>
  <c r="L99" i="12"/>
  <c r="B109" i="12"/>
  <c r="F109" i="12"/>
  <c r="J109" i="12"/>
  <c r="E110" i="12"/>
  <c r="I110" i="12"/>
  <c r="M110" i="12"/>
  <c r="E71" i="4"/>
  <c r="I71" i="4" s="1"/>
  <c r="N110" i="12"/>
  <c r="D111" i="12"/>
  <c r="H111" i="12"/>
  <c r="L111" i="12"/>
  <c r="V396" i="2"/>
  <c r="B129" i="20"/>
  <c r="F141" i="19"/>
  <c r="W396" i="2"/>
  <c r="W385" i="2"/>
  <c r="V389" i="2"/>
  <c r="W392" i="2"/>
  <c r="W395" i="2"/>
  <c r="W384" i="2"/>
  <c r="W387" i="2"/>
  <c r="V384" i="2"/>
  <c r="W386" i="2"/>
  <c r="W390" i="2"/>
  <c r="W394" i="2"/>
  <c r="W397" i="2"/>
  <c r="V387" i="2"/>
  <c r="V386" i="2"/>
  <c r="W389" i="2"/>
  <c r="V390" i="2"/>
  <c r="W391" i="2"/>
  <c r="V394" i="2"/>
  <c r="V395" i="2"/>
  <c r="V385" i="2"/>
  <c r="V391" i="2"/>
  <c r="V392" i="2"/>
  <c r="V397" i="2"/>
  <c r="W322" i="2"/>
  <c r="W316" i="2"/>
  <c r="V318" i="2"/>
  <c r="V310" i="2"/>
  <c r="W313" i="2"/>
  <c r="V316" i="2"/>
  <c r="V317" i="2"/>
  <c r="W318" i="2"/>
  <c r="V320" i="2"/>
  <c r="W323" i="2"/>
  <c r="W312" i="2"/>
  <c r="W315" i="2"/>
  <c r="W311" i="2"/>
  <c r="W321" i="2"/>
  <c r="V312" i="2"/>
  <c r="V313" i="2"/>
  <c r="V315" i="2"/>
  <c r="V322" i="2"/>
  <c r="V323" i="2"/>
  <c r="V311" i="2"/>
  <c r="V321" i="2"/>
  <c r="C17" i="34"/>
  <c r="B98" i="20" l="1"/>
  <c r="F110" i="19"/>
  <c r="F111" i="19"/>
  <c r="B99" i="20"/>
  <c r="B97" i="20"/>
  <c r="F109" i="19"/>
  <c r="B86" i="20"/>
  <c r="F98" i="19"/>
  <c r="F99" i="19"/>
  <c r="B87" i="20"/>
  <c r="B85" i="20"/>
  <c r="F97" i="19"/>
  <c r="A28" i="27" l="1"/>
  <c r="A18" i="34" l="1"/>
  <c r="A17" i="34"/>
  <c r="A15" i="34"/>
  <c r="C18" i="34"/>
  <c r="C19" i="34" s="1"/>
  <c r="B19" i="34"/>
  <c r="H2" i="34"/>
  <c r="A6" i="34"/>
  <c r="C8" i="34"/>
  <c r="C9" i="34"/>
  <c r="C10" i="34"/>
  <c r="C12" i="34" l="1"/>
  <c r="C44" i="34" l="1"/>
  <c r="C42" i="34"/>
  <c r="L253" i="26"/>
  <c r="C46" i="34" l="1"/>
  <c r="C38" i="34"/>
  <c r="C37" i="34"/>
  <c r="C36" i="34"/>
  <c r="C35" i="34"/>
  <c r="C34" i="34"/>
  <c r="C33" i="34"/>
  <c r="C32" i="34"/>
  <c r="C31" i="34"/>
  <c r="C30" i="34"/>
  <c r="C29" i="34"/>
  <c r="C28" i="34"/>
  <c r="C27" i="34"/>
  <c r="C26" i="34"/>
  <c r="C25" i="34"/>
  <c r="C24" i="34"/>
  <c r="C23" i="34"/>
  <c r="C22" i="34"/>
  <c r="E117" i="17"/>
  <c r="E3" i="17"/>
  <c r="C39" i="34" l="1"/>
  <c r="C41" i="34"/>
  <c r="B39" i="34"/>
  <c r="D23" i="3" l="1"/>
  <c r="C23" i="3" s="1"/>
  <c r="H14" i="27"/>
  <c r="H43" i="27" s="1"/>
  <c r="M1" i="26" l="1"/>
  <c r="R1" i="26" l="1"/>
  <c r="Q1" i="26"/>
  <c r="A113" i="4" l="1"/>
  <c r="A114" i="4"/>
  <c r="I1" i="26" l="1"/>
  <c r="I253" i="26" s="1"/>
  <c r="A1" i="10" l="1"/>
  <c r="A10" i="20" l="1"/>
  <c r="B92" i="10"/>
  <c r="B90" i="10"/>
  <c r="B87" i="10"/>
  <c r="B75" i="10"/>
  <c r="B71" i="10"/>
  <c r="B55" i="10"/>
  <c r="B42" i="10"/>
  <c r="B32" i="10"/>
  <c r="B23" i="10"/>
  <c r="B18" i="10"/>
  <c r="B19" i="10"/>
  <c r="B12" i="10"/>
  <c r="B16" i="12" l="1"/>
  <c r="C16" i="12"/>
  <c r="D16" i="12"/>
  <c r="E16" i="12"/>
  <c r="F16" i="12"/>
  <c r="G16" i="12"/>
  <c r="H16" i="12"/>
  <c r="I16" i="12"/>
  <c r="J16" i="12"/>
  <c r="L16" i="12"/>
  <c r="M16" i="12"/>
  <c r="A16" i="12"/>
  <c r="A15" i="19"/>
  <c r="K86" i="28" l="1"/>
  <c r="K85" i="28"/>
  <c r="K82" i="28"/>
  <c r="K81" i="28"/>
  <c r="M93" i="28"/>
  <c r="L87" i="28"/>
  <c r="M113" i="28"/>
  <c r="M109" i="28"/>
  <c r="D21" i="3"/>
  <c r="C21" i="3" s="1"/>
  <c r="L89" i="28" l="1"/>
  <c r="A21" i="33"/>
  <c r="A18" i="33"/>
  <c r="D17" i="33"/>
  <c r="D16" i="33"/>
  <c r="D15" i="33"/>
  <c r="G15" i="33" s="1"/>
  <c r="D13" i="33"/>
  <c r="D12" i="33"/>
  <c r="D11" i="33"/>
  <c r="F17" i="33"/>
  <c r="F16" i="33"/>
  <c r="F15" i="33"/>
  <c r="A17" i="33"/>
  <c r="A16" i="33"/>
  <c r="A15" i="33"/>
  <c r="A11" i="33"/>
  <c r="H5" i="33"/>
  <c r="G17" i="33" l="1"/>
  <c r="G16" i="33"/>
  <c r="A58" i="27"/>
  <c r="B13" i="27" l="1"/>
  <c r="G22" i="27"/>
  <c r="G34" i="27" l="1"/>
  <c r="A13" i="33" l="1"/>
  <c r="A12" i="33"/>
  <c r="A9" i="33"/>
  <c r="A1" i="3" l="1"/>
  <c r="A1" i="4" s="1"/>
  <c r="A1" i="34" l="1"/>
  <c r="E253" i="26"/>
  <c r="B66" i="28" l="1"/>
  <c r="C67" i="28"/>
  <c r="D49" i="28"/>
  <c r="K67" i="28"/>
  <c r="P64" i="28" s="1"/>
  <c r="D47" i="28"/>
  <c r="A10" i="27"/>
  <c r="N1" i="26"/>
  <c r="I49" i="28" l="1"/>
  <c r="L1" i="26" l="1"/>
  <c r="G1" i="26"/>
  <c r="E18" i="33" l="1"/>
  <c r="F13" i="33"/>
  <c r="F12" i="33"/>
  <c r="F11" i="33"/>
  <c r="A8" i="3"/>
  <c r="A16" i="3"/>
  <c r="A15" i="3"/>
  <c r="A14" i="3"/>
  <c r="A13" i="3"/>
  <c r="A12" i="3"/>
  <c r="A11" i="3"/>
  <c r="A2" i="3"/>
  <c r="F18" i="33" l="1"/>
  <c r="I51" i="28"/>
  <c r="D43" i="28"/>
  <c r="D115" i="28" l="1"/>
  <c r="K113" i="28"/>
  <c r="D111" i="28"/>
  <c r="K109" i="28"/>
  <c r="D107" i="28"/>
  <c r="K101" i="28"/>
  <c r="K93" i="28"/>
  <c r="D98" i="28"/>
  <c r="G11" i="33" l="1"/>
  <c r="H24" i="3" s="1"/>
  <c r="K24" i="3" s="1"/>
  <c r="G12" i="33"/>
  <c r="M24" i="3" s="1"/>
  <c r="P24" i="3" s="1"/>
  <c r="G13" i="33"/>
  <c r="Q24" i="3" s="1"/>
  <c r="S24" i="3" s="1"/>
  <c r="K91" i="28"/>
  <c r="G18" i="33" l="1"/>
  <c r="G21" i="33" s="1"/>
  <c r="D24" i="3" s="1"/>
  <c r="C24" i="3" s="1"/>
  <c r="H18" i="33"/>
  <c r="C69" i="28"/>
  <c r="C65" i="28"/>
  <c r="C37" i="28"/>
  <c r="C29" i="28"/>
  <c r="C27" i="28"/>
  <c r="C25" i="28"/>
  <c r="C23" i="28"/>
  <c r="C21" i="28"/>
  <c r="C18" i="28"/>
  <c r="C15" i="28"/>
  <c r="T24" i="3" l="1"/>
  <c r="A40" i="27"/>
  <c r="B36" i="27"/>
  <c r="A32" i="27"/>
  <c r="A30" i="27"/>
  <c r="A29" i="27"/>
  <c r="A27" i="27"/>
  <c r="A25" i="27"/>
  <c r="A20" i="27"/>
  <c r="A19" i="27"/>
  <c r="A18" i="27"/>
  <c r="A14" i="27"/>
  <c r="D1" i="20"/>
  <c r="C1" i="20"/>
  <c r="B1" i="20"/>
  <c r="F5" i="19"/>
  <c r="B5" i="19"/>
  <c r="A2" i="19"/>
  <c r="C42" i="13"/>
  <c r="C39" i="13"/>
  <c r="C28" i="13"/>
  <c r="C18" i="13"/>
  <c r="C14" i="13"/>
  <c r="C13" i="13"/>
  <c r="C9" i="13"/>
  <c r="C7" i="13"/>
  <c r="C4" i="13"/>
  <c r="C2" i="13"/>
  <c r="A585" i="2"/>
  <c r="A577" i="2"/>
  <c r="A3" i="2"/>
  <c r="A4" i="12"/>
  <c r="A53" i="12"/>
  <c r="A9" i="12"/>
  <c r="A2" i="12"/>
  <c r="F12" i="4"/>
  <c r="F13" i="4"/>
  <c r="F14" i="4"/>
  <c r="F153" i="4"/>
  <c r="I153" i="4"/>
  <c r="I155" i="4"/>
  <c r="I157" i="4"/>
  <c r="F176" i="4"/>
  <c r="I177" i="4" s="1"/>
  <c r="F183" i="4"/>
  <c r="A182" i="4"/>
  <c r="A173" i="4"/>
  <c r="A171" i="4"/>
  <c r="A170" i="4"/>
  <c r="A168" i="4"/>
  <c r="A167" i="4"/>
  <c r="A146" i="4"/>
  <c r="A143" i="4"/>
  <c r="A133" i="4"/>
  <c r="A126" i="4"/>
  <c r="A53" i="4"/>
  <c r="A52" i="4"/>
  <c r="A49" i="4"/>
  <c r="A48" i="4"/>
  <c r="A2" i="4"/>
  <c r="G35" i="27" l="1"/>
  <c r="H47" i="27" s="1"/>
  <c r="G23" i="27"/>
  <c r="F117" i="17" l="1"/>
  <c r="K23" i="3" l="1"/>
  <c r="H23" i="3"/>
  <c r="P23" i="3"/>
  <c r="L23" i="3"/>
  <c r="N23" i="3"/>
  <c r="S23" i="3"/>
  <c r="R23" i="3"/>
  <c r="I23" i="3"/>
  <c r="Q23" i="3"/>
  <c r="J23" i="3"/>
  <c r="O23" i="3"/>
  <c r="M23" i="3"/>
  <c r="H38" i="27"/>
  <c r="M19" i="28" l="1"/>
  <c r="M23" i="28" l="1"/>
  <c r="M91" i="28" l="1"/>
  <c r="M98" i="28" s="1"/>
  <c r="H28" i="3"/>
  <c r="B18" i="12" s="1"/>
  <c r="O28" i="3"/>
  <c r="I18" i="12" s="1"/>
  <c r="A158" i="4"/>
  <c r="A157" i="4"/>
  <c r="A150" i="4"/>
  <c r="A151" i="4"/>
  <c r="A152" i="4"/>
  <c r="A153" i="4"/>
  <c r="A154" i="4"/>
  <c r="A155" i="4"/>
  <c r="A156" i="4"/>
  <c r="A149" i="4"/>
  <c r="E134" i="4"/>
  <c r="E127" i="4"/>
  <c r="M18" i="28"/>
  <c r="D15" i="4"/>
  <c r="I15" i="4" s="1"/>
  <c r="A35" i="4"/>
  <c r="A36" i="4"/>
  <c r="A37" i="4"/>
  <c r="A38" i="4"/>
  <c r="A39" i="4"/>
  <c r="A40" i="4"/>
  <c r="A41" i="4"/>
  <c r="A42" i="4"/>
  <c r="A43" i="4"/>
  <c r="A44" i="4"/>
  <c r="A45" i="4"/>
  <c r="A46" i="4"/>
  <c r="A13" i="4"/>
  <c r="A14" i="4"/>
  <c r="B72" i="4"/>
  <c r="I72" i="4" s="1"/>
  <c r="I53" i="28"/>
  <c r="P68" i="28"/>
  <c r="K71" i="28" s="1"/>
  <c r="K75" i="28" s="1"/>
  <c r="D26" i="3" s="1"/>
  <c r="B10" i="20" s="1"/>
  <c r="D53" i="4"/>
  <c r="D52" i="4"/>
  <c r="D51" i="4"/>
  <c r="D50" i="4"/>
  <c r="D49" i="4"/>
  <c r="I1" i="27"/>
  <c r="M21" i="28"/>
  <c r="M25" i="28"/>
  <c r="M27" i="28"/>
  <c r="M29" i="28"/>
  <c r="B15" i="12"/>
  <c r="B14" i="12"/>
  <c r="C15" i="12"/>
  <c r="C13" i="12"/>
  <c r="C14" i="12"/>
  <c r="D15" i="12"/>
  <c r="D13" i="12"/>
  <c r="D14" i="12"/>
  <c r="F15" i="12"/>
  <c r="F13" i="12"/>
  <c r="F14" i="12"/>
  <c r="G15" i="12"/>
  <c r="G14" i="12"/>
  <c r="H15" i="12"/>
  <c r="H13" i="12"/>
  <c r="H14" i="12"/>
  <c r="I15" i="12"/>
  <c r="I13" i="12"/>
  <c r="I14" i="12"/>
  <c r="K15" i="12"/>
  <c r="K14" i="12"/>
  <c r="L15" i="12"/>
  <c r="L13" i="12"/>
  <c r="L14" i="12"/>
  <c r="B145" i="12"/>
  <c r="B17" i="12"/>
  <c r="B19" i="12"/>
  <c r="B20" i="12"/>
  <c r="H31" i="3"/>
  <c r="B21" i="12" s="1"/>
  <c r="H32" i="3"/>
  <c r="B22" i="12" s="1"/>
  <c r="H33" i="3"/>
  <c r="B23" i="12"/>
  <c r="H34" i="3"/>
  <c r="B24" i="12" s="1"/>
  <c r="H35" i="3"/>
  <c r="B25" i="12"/>
  <c r="H36" i="3"/>
  <c r="B26" i="12" s="1"/>
  <c r="H37" i="3"/>
  <c r="H38" i="3"/>
  <c r="H39" i="3"/>
  <c r="B29" i="12" s="1"/>
  <c r="H40" i="3"/>
  <c r="B30" i="12" s="1"/>
  <c r="H41" i="3"/>
  <c r="B31" i="12" s="1"/>
  <c r="H42" i="3"/>
  <c r="H43" i="3"/>
  <c r="B33" i="12" s="1"/>
  <c r="H47" i="3"/>
  <c r="B35" i="12" s="1"/>
  <c r="H48" i="3"/>
  <c r="B36" i="12" s="1"/>
  <c r="H49" i="3"/>
  <c r="B37" i="12" s="1"/>
  <c r="H50" i="3"/>
  <c r="B38" i="12" s="1"/>
  <c r="H51" i="3"/>
  <c r="B39" i="12" s="1"/>
  <c r="H52" i="3"/>
  <c r="B40" i="12" s="1"/>
  <c r="H53" i="3"/>
  <c r="H54" i="3"/>
  <c r="B42" i="12" s="1"/>
  <c r="H55" i="3"/>
  <c r="B43" i="12" s="1"/>
  <c r="H56" i="3"/>
  <c r="B44" i="12" s="1"/>
  <c r="H57" i="3"/>
  <c r="B45" i="12" s="1"/>
  <c r="H58" i="3"/>
  <c r="B46" i="12" s="1"/>
  <c r="H59" i="3"/>
  <c r="B47" i="12" s="1"/>
  <c r="H60" i="3"/>
  <c r="B48" i="12" s="1"/>
  <c r="H61" i="3"/>
  <c r="B49" i="12" s="1"/>
  <c r="I10" i="2"/>
  <c r="I11" i="2"/>
  <c r="I12" i="2"/>
  <c r="I13" i="2"/>
  <c r="I16" i="2"/>
  <c r="I17" i="2"/>
  <c r="I19" i="2"/>
  <c r="I20" i="2"/>
  <c r="I21" i="2"/>
  <c r="I22" i="2"/>
  <c r="I23" i="2"/>
  <c r="I24" i="2"/>
  <c r="I26" i="2"/>
  <c r="I27" i="2"/>
  <c r="I28" i="2"/>
  <c r="I29" i="2"/>
  <c r="I30" i="2"/>
  <c r="I31" i="2"/>
  <c r="I32" i="2"/>
  <c r="I33" i="2"/>
  <c r="I34" i="2"/>
  <c r="I36" i="2"/>
  <c r="I37" i="2"/>
  <c r="I38" i="2"/>
  <c r="I39" i="2"/>
  <c r="I40"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7" i="2"/>
  <c r="I78" i="2"/>
  <c r="B59" i="12" s="1"/>
  <c r="I79" i="2"/>
  <c r="I80" i="2"/>
  <c r="I81" i="2"/>
  <c r="I83" i="2"/>
  <c r="I84" i="2"/>
  <c r="I85" i="2"/>
  <c r="I86" i="2"/>
  <c r="I87" i="2"/>
  <c r="I88" i="2"/>
  <c r="I89" i="2"/>
  <c r="I90" i="2"/>
  <c r="I91" i="2"/>
  <c r="I92" i="2"/>
  <c r="I93" i="2"/>
  <c r="I94" i="2"/>
  <c r="I96" i="2"/>
  <c r="I97" i="2"/>
  <c r="I98" i="2"/>
  <c r="I99" i="2"/>
  <c r="I100" i="2"/>
  <c r="I101" i="2"/>
  <c r="I102" i="2"/>
  <c r="I103" i="2"/>
  <c r="I104" i="2"/>
  <c r="I106" i="2"/>
  <c r="I107" i="2"/>
  <c r="I108" i="2"/>
  <c r="I109" i="2"/>
  <c r="I110" i="2"/>
  <c r="I112" i="2"/>
  <c r="I113" i="2"/>
  <c r="I114" i="2"/>
  <c r="I115" i="2"/>
  <c r="I116" i="2"/>
  <c r="I117" i="2"/>
  <c r="I118" i="2"/>
  <c r="I119" i="2"/>
  <c r="I122" i="2"/>
  <c r="I123" i="2"/>
  <c r="I124" i="2"/>
  <c r="I126" i="2"/>
  <c r="I127" i="2"/>
  <c r="I128" i="2"/>
  <c r="I129" i="2"/>
  <c r="I130" i="2"/>
  <c r="I131" i="2"/>
  <c r="I132" i="2"/>
  <c r="I133" i="2"/>
  <c r="I134" i="2"/>
  <c r="I135" i="2"/>
  <c r="I136" i="2"/>
  <c r="I137" i="2"/>
  <c r="I138" i="2"/>
  <c r="I140" i="2"/>
  <c r="I141" i="2"/>
  <c r="I142" i="2"/>
  <c r="I143" i="2"/>
  <c r="I145" i="2"/>
  <c r="I147" i="2"/>
  <c r="I148" i="2"/>
  <c r="I150" i="2"/>
  <c r="I151" i="2"/>
  <c r="I152" i="2"/>
  <c r="I153" i="2"/>
  <c r="I155" i="2"/>
  <c r="I156" i="2"/>
  <c r="I157" i="2"/>
  <c r="I158" i="2"/>
  <c r="I160" i="2"/>
  <c r="I161" i="2"/>
  <c r="I162" i="2"/>
  <c r="I163" i="2"/>
  <c r="I165" i="2"/>
  <c r="I166" i="2"/>
  <c r="I167" i="2"/>
  <c r="I168" i="2"/>
  <c r="I170" i="2"/>
  <c r="I171" i="2"/>
  <c r="B72" i="12" s="1"/>
  <c r="I172" i="2"/>
  <c r="I173" i="2"/>
  <c r="I175" i="2"/>
  <c r="I176" i="2"/>
  <c r="I177" i="2"/>
  <c r="I178" i="2"/>
  <c r="I180" i="2"/>
  <c r="I181" i="2"/>
  <c r="B74" i="12" s="1"/>
  <c r="I182" i="2"/>
  <c r="I183" i="2"/>
  <c r="I184" i="2"/>
  <c r="I186" i="2"/>
  <c r="I187" i="2"/>
  <c r="I188" i="2"/>
  <c r="I189" i="2"/>
  <c r="I190" i="2"/>
  <c r="I191" i="2"/>
  <c r="I192" i="2"/>
  <c r="I193" i="2"/>
  <c r="I194" i="2"/>
  <c r="I195" i="2"/>
  <c r="I196" i="2"/>
  <c r="I197" i="2"/>
  <c r="I205" i="2"/>
  <c r="I206" i="2"/>
  <c r="I207" i="2"/>
  <c r="I208" i="2"/>
  <c r="I209" i="2"/>
  <c r="I210" i="2"/>
  <c r="I212" i="2"/>
  <c r="I213" i="2"/>
  <c r="I214" i="2"/>
  <c r="I215" i="2"/>
  <c r="I217" i="2"/>
  <c r="I218" i="2"/>
  <c r="I219" i="2"/>
  <c r="I220" i="2"/>
  <c r="I221" i="2"/>
  <c r="I222" i="2"/>
  <c r="I224" i="2"/>
  <c r="I225" i="2"/>
  <c r="I226" i="2"/>
  <c r="I227" i="2"/>
  <c r="I229" i="2"/>
  <c r="I230" i="2"/>
  <c r="I231" i="2"/>
  <c r="I233" i="2"/>
  <c r="I234" i="2"/>
  <c r="I236" i="2"/>
  <c r="I237" i="2"/>
  <c r="B83" i="12" s="1"/>
  <c r="I239" i="2"/>
  <c r="I240" i="2"/>
  <c r="I241" i="2"/>
  <c r="I242" i="2"/>
  <c r="I244" i="2"/>
  <c r="I245" i="2"/>
  <c r="I246" i="2"/>
  <c r="I247" i="2"/>
  <c r="I249" i="2"/>
  <c r="I250" i="2"/>
  <c r="I251" i="2"/>
  <c r="I252" i="2"/>
  <c r="I254" i="2"/>
  <c r="I255" i="2"/>
  <c r="I256" i="2"/>
  <c r="I257" i="2"/>
  <c r="I259" i="2"/>
  <c r="I260" i="2"/>
  <c r="I261" i="2"/>
  <c r="I262" i="2"/>
  <c r="I264" i="2"/>
  <c r="I265" i="2"/>
  <c r="I266" i="2"/>
  <c r="I267" i="2"/>
  <c r="I269" i="2"/>
  <c r="I270" i="2"/>
  <c r="I271" i="2"/>
  <c r="I272" i="2"/>
  <c r="I273" i="2"/>
  <c r="I274" i="2"/>
  <c r="I275" i="2"/>
  <c r="I276" i="2"/>
  <c r="I277" i="2"/>
  <c r="I278" i="2"/>
  <c r="I280" i="2"/>
  <c r="I281" i="2"/>
  <c r="I282" i="2"/>
  <c r="B91" i="12" s="1"/>
  <c r="I283" i="2"/>
  <c r="I285" i="2"/>
  <c r="I286" i="2"/>
  <c r="I287" i="2"/>
  <c r="I288" i="2"/>
  <c r="I290" i="2"/>
  <c r="I291" i="2"/>
  <c r="I292" i="2"/>
  <c r="B93" i="12" s="1"/>
  <c r="I293" i="2"/>
  <c r="I295" i="2"/>
  <c r="I296" i="2"/>
  <c r="I297" i="2"/>
  <c r="I298" i="2"/>
  <c r="I300" i="2"/>
  <c r="I301" i="2"/>
  <c r="I302" i="2"/>
  <c r="B95" i="12" s="1"/>
  <c r="I303" i="2"/>
  <c r="I305" i="2"/>
  <c r="I306" i="2"/>
  <c r="I307" i="2"/>
  <c r="I308" i="2"/>
  <c r="I325" i="2"/>
  <c r="I326" i="2"/>
  <c r="I327" i="2"/>
  <c r="I328" i="2"/>
  <c r="I330" i="2"/>
  <c r="I331" i="2"/>
  <c r="I332" i="2"/>
  <c r="I333" i="2"/>
  <c r="I335" i="2"/>
  <c r="I336" i="2"/>
  <c r="I337" i="2"/>
  <c r="I338" i="2"/>
  <c r="I340" i="2"/>
  <c r="I341" i="2"/>
  <c r="I342" i="2"/>
  <c r="I343" i="2"/>
  <c r="I345" i="2"/>
  <c r="I346" i="2"/>
  <c r="I347" i="2"/>
  <c r="I348" i="2"/>
  <c r="I350" i="2"/>
  <c r="I351" i="2"/>
  <c r="I352" i="2"/>
  <c r="I353" i="2"/>
  <c r="I354" i="2"/>
  <c r="I355" i="2"/>
  <c r="I356" i="2"/>
  <c r="I357" i="2"/>
  <c r="I358" i="2"/>
  <c r="I359" i="2"/>
  <c r="I360" i="2"/>
  <c r="I361" i="2"/>
  <c r="I363" i="2"/>
  <c r="I364" i="2"/>
  <c r="I365" i="2"/>
  <c r="I366" i="2"/>
  <c r="I368" i="2"/>
  <c r="I369" i="2"/>
  <c r="I370" i="2"/>
  <c r="I371" i="2"/>
  <c r="I372" i="2"/>
  <c r="I374" i="2"/>
  <c r="I375" i="2"/>
  <c r="I376" i="2"/>
  <c r="I377" i="2"/>
  <c r="I379" i="2"/>
  <c r="I380" i="2"/>
  <c r="I381" i="2"/>
  <c r="I382" i="2"/>
  <c r="I399" i="2"/>
  <c r="B112" i="12" s="1"/>
  <c r="I400" i="2"/>
  <c r="I401" i="2"/>
  <c r="I402" i="2"/>
  <c r="I404" i="2"/>
  <c r="I405" i="2"/>
  <c r="I406" i="2"/>
  <c r="I407" i="2"/>
  <c r="I408" i="2"/>
  <c r="I409" i="2"/>
  <c r="I410" i="2"/>
  <c r="I422" i="2"/>
  <c r="I423" i="2"/>
  <c r="I425" i="2"/>
  <c r="I426" i="2"/>
  <c r="I427" i="2"/>
  <c r="I429" i="2"/>
  <c r="B115" i="12" s="1"/>
  <c r="I431" i="2"/>
  <c r="I432" i="2"/>
  <c r="I433" i="2"/>
  <c r="I434" i="2"/>
  <c r="I435" i="2"/>
  <c r="I436" i="2"/>
  <c r="I438" i="2"/>
  <c r="I439" i="2"/>
  <c r="I441" i="2"/>
  <c r="I442" i="2"/>
  <c r="I443" i="2"/>
  <c r="I444" i="2"/>
  <c r="I445" i="2"/>
  <c r="I446" i="2"/>
  <c r="I447" i="2"/>
  <c r="I448" i="2"/>
  <c r="I449" i="2"/>
  <c r="I450" i="2"/>
  <c r="I457" i="2"/>
  <c r="I458" i="2"/>
  <c r="I459" i="2"/>
  <c r="I460" i="2"/>
  <c r="I462" i="2"/>
  <c r="I463" i="2"/>
  <c r="I464" i="2"/>
  <c r="I465" i="2"/>
  <c r="I467" i="2"/>
  <c r="I468" i="2"/>
  <c r="I469" i="2"/>
  <c r="I470" i="2"/>
  <c r="I472" i="2"/>
  <c r="I473" i="2"/>
  <c r="I474" i="2"/>
  <c r="I475" i="2"/>
  <c r="I477" i="2"/>
  <c r="I478" i="2"/>
  <c r="I479" i="2"/>
  <c r="I480" i="2"/>
  <c r="I482" i="2"/>
  <c r="I483" i="2"/>
  <c r="I484" i="2"/>
  <c r="I485" i="2"/>
  <c r="I487" i="2"/>
  <c r="I488" i="2"/>
  <c r="I489" i="2"/>
  <c r="I490" i="2"/>
  <c r="I492" i="2"/>
  <c r="I493" i="2"/>
  <c r="I494" i="2"/>
  <c r="I495" i="2"/>
  <c r="I497" i="2"/>
  <c r="I498" i="2"/>
  <c r="I499" i="2"/>
  <c r="I500" i="2"/>
  <c r="I502" i="2"/>
  <c r="I503" i="2"/>
  <c r="I504" i="2"/>
  <c r="I505" i="2"/>
  <c r="I507" i="2"/>
  <c r="I508" i="2"/>
  <c r="I509" i="2"/>
  <c r="I510" i="2"/>
  <c r="I512" i="2"/>
  <c r="I513" i="2"/>
  <c r="I514" i="2"/>
  <c r="I515" i="2"/>
  <c r="I517" i="2"/>
  <c r="I518" i="2"/>
  <c r="I519" i="2"/>
  <c r="I520" i="2"/>
  <c r="I522" i="2"/>
  <c r="I523" i="2"/>
  <c r="I524" i="2"/>
  <c r="I525" i="2"/>
  <c r="I527" i="2"/>
  <c r="I528" i="2"/>
  <c r="I529" i="2"/>
  <c r="I530" i="2"/>
  <c r="I552" i="2"/>
  <c r="I553" i="2"/>
  <c r="I554" i="2"/>
  <c r="I555" i="2"/>
  <c r="I557" i="2"/>
  <c r="I558" i="2"/>
  <c r="I559" i="2"/>
  <c r="I560" i="2"/>
  <c r="I562" i="2"/>
  <c r="I563" i="2"/>
  <c r="I564" i="2"/>
  <c r="I565" i="2"/>
  <c r="I567" i="2"/>
  <c r="I568" i="2"/>
  <c r="I569" i="2"/>
  <c r="I570" i="2"/>
  <c r="C17" i="12"/>
  <c r="C18" i="12"/>
  <c r="I29" i="3"/>
  <c r="C19" i="12" s="1"/>
  <c r="I30" i="3"/>
  <c r="C20" i="12" s="1"/>
  <c r="I31" i="3"/>
  <c r="C21" i="12" s="1"/>
  <c r="I32" i="3"/>
  <c r="C22" i="12" s="1"/>
  <c r="I33" i="3"/>
  <c r="C23" i="12" s="1"/>
  <c r="I34" i="3"/>
  <c r="C24" i="12" s="1"/>
  <c r="I35" i="3"/>
  <c r="C25" i="12" s="1"/>
  <c r="I36" i="3"/>
  <c r="C26" i="12" s="1"/>
  <c r="I37" i="3"/>
  <c r="I38" i="3"/>
  <c r="I39" i="3"/>
  <c r="C29" i="12" s="1"/>
  <c r="I40" i="3"/>
  <c r="C30" i="12" s="1"/>
  <c r="I41" i="3"/>
  <c r="C31" i="12" s="1"/>
  <c r="I42" i="3"/>
  <c r="C32" i="12" s="1"/>
  <c r="I43" i="3"/>
  <c r="C33" i="12" s="1"/>
  <c r="I47" i="3"/>
  <c r="C35" i="12" s="1"/>
  <c r="I48" i="3"/>
  <c r="C36" i="12"/>
  <c r="I49" i="3"/>
  <c r="C37" i="12" s="1"/>
  <c r="I50" i="3"/>
  <c r="C38" i="12" s="1"/>
  <c r="I51" i="3"/>
  <c r="C39" i="12" s="1"/>
  <c r="I52" i="3"/>
  <c r="C40" i="12" s="1"/>
  <c r="I53" i="3"/>
  <c r="C41" i="12" s="1"/>
  <c r="I54" i="3"/>
  <c r="C42" i="12" s="1"/>
  <c r="I55" i="3"/>
  <c r="C43" i="12" s="1"/>
  <c r="I56" i="3"/>
  <c r="C44" i="12"/>
  <c r="I57" i="3"/>
  <c r="C45" i="12" s="1"/>
  <c r="I58" i="3"/>
  <c r="C46" i="12"/>
  <c r="I59" i="3"/>
  <c r="C47" i="12" s="1"/>
  <c r="I60" i="3"/>
  <c r="C48" i="12" s="1"/>
  <c r="I61" i="3"/>
  <c r="C49" i="12" s="1"/>
  <c r="J10" i="2"/>
  <c r="J11" i="2"/>
  <c r="J12" i="2"/>
  <c r="J13" i="2"/>
  <c r="J16" i="2"/>
  <c r="J17" i="2"/>
  <c r="J19" i="2"/>
  <c r="J20" i="2"/>
  <c r="J21" i="2"/>
  <c r="J22" i="2"/>
  <c r="J23" i="2"/>
  <c r="J24" i="2"/>
  <c r="J26" i="2"/>
  <c r="J27" i="2"/>
  <c r="J28" i="2"/>
  <c r="J29" i="2"/>
  <c r="J30" i="2"/>
  <c r="J31" i="2"/>
  <c r="J32" i="2"/>
  <c r="J33" i="2"/>
  <c r="J34" i="2"/>
  <c r="J36" i="2"/>
  <c r="J37" i="2"/>
  <c r="J38" i="2"/>
  <c r="J39" i="2"/>
  <c r="J40"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7" i="2"/>
  <c r="J78" i="2"/>
  <c r="J79" i="2"/>
  <c r="J80" i="2"/>
  <c r="J81" i="2"/>
  <c r="J83" i="2"/>
  <c r="J84" i="2"/>
  <c r="J85" i="2"/>
  <c r="J86" i="2"/>
  <c r="J87" i="2"/>
  <c r="J88" i="2"/>
  <c r="J89" i="2"/>
  <c r="J90" i="2"/>
  <c r="J91" i="2"/>
  <c r="J92" i="2"/>
  <c r="J93" i="2"/>
  <c r="J94" i="2"/>
  <c r="J96" i="2"/>
  <c r="J97" i="2"/>
  <c r="J98" i="2"/>
  <c r="J99" i="2"/>
  <c r="J100" i="2"/>
  <c r="J101" i="2"/>
  <c r="J102" i="2"/>
  <c r="J103" i="2"/>
  <c r="J104" i="2"/>
  <c r="J106" i="2"/>
  <c r="J107" i="2"/>
  <c r="J108" i="2"/>
  <c r="J109" i="2"/>
  <c r="J110" i="2"/>
  <c r="J112" i="2"/>
  <c r="J113" i="2"/>
  <c r="J114" i="2"/>
  <c r="J115" i="2"/>
  <c r="J116" i="2"/>
  <c r="J117" i="2"/>
  <c r="J118" i="2"/>
  <c r="J119" i="2"/>
  <c r="J121" i="2"/>
  <c r="J122" i="2"/>
  <c r="J123" i="2"/>
  <c r="J124" i="2"/>
  <c r="J126" i="2"/>
  <c r="J127" i="2"/>
  <c r="J128" i="2"/>
  <c r="J129" i="2"/>
  <c r="J130" i="2"/>
  <c r="J131" i="2"/>
  <c r="J132" i="2"/>
  <c r="J133" i="2"/>
  <c r="J134" i="2"/>
  <c r="J135" i="2"/>
  <c r="J136" i="2"/>
  <c r="J137" i="2"/>
  <c r="J138" i="2"/>
  <c r="J140" i="2"/>
  <c r="J141" i="2"/>
  <c r="J142" i="2"/>
  <c r="J143" i="2"/>
  <c r="J145" i="2"/>
  <c r="J147" i="2"/>
  <c r="J148" i="2"/>
  <c r="J150" i="2"/>
  <c r="J151" i="2"/>
  <c r="J152" i="2"/>
  <c r="J153" i="2"/>
  <c r="J155" i="2"/>
  <c r="J156" i="2"/>
  <c r="J157" i="2"/>
  <c r="J158" i="2"/>
  <c r="J160" i="2"/>
  <c r="J161" i="2"/>
  <c r="J162" i="2"/>
  <c r="J163" i="2"/>
  <c r="J165" i="2"/>
  <c r="J166" i="2"/>
  <c r="J167" i="2"/>
  <c r="J168" i="2"/>
  <c r="J170" i="2"/>
  <c r="J171" i="2"/>
  <c r="J172" i="2"/>
  <c r="J173" i="2"/>
  <c r="J175" i="2"/>
  <c r="J176" i="2"/>
  <c r="J177" i="2"/>
  <c r="J178" i="2"/>
  <c r="J180" i="2"/>
  <c r="J181" i="2"/>
  <c r="J182" i="2"/>
  <c r="J183" i="2"/>
  <c r="J184" i="2"/>
  <c r="J186" i="2"/>
  <c r="J187" i="2"/>
  <c r="J188" i="2"/>
  <c r="J189" i="2"/>
  <c r="J190" i="2"/>
  <c r="J191" i="2"/>
  <c r="J192" i="2"/>
  <c r="J193" i="2"/>
  <c r="J194" i="2"/>
  <c r="J195" i="2"/>
  <c r="J196" i="2"/>
  <c r="J197" i="2"/>
  <c r="J205" i="2"/>
  <c r="J206" i="2"/>
  <c r="J207" i="2"/>
  <c r="J208" i="2"/>
  <c r="J209" i="2"/>
  <c r="J210" i="2"/>
  <c r="J212" i="2"/>
  <c r="J213" i="2"/>
  <c r="J214" i="2"/>
  <c r="J215" i="2"/>
  <c r="J216" i="2"/>
  <c r="J217" i="2"/>
  <c r="J218" i="2"/>
  <c r="J219" i="2"/>
  <c r="J220" i="2"/>
  <c r="J221" i="2"/>
  <c r="J222" i="2"/>
  <c r="J224" i="2"/>
  <c r="J225" i="2"/>
  <c r="J226" i="2"/>
  <c r="J227" i="2"/>
  <c r="J229" i="2"/>
  <c r="J230" i="2"/>
  <c r="J231" i="2"/>
  <c r="J233" i="2"/>
  <c r="J234" i="2"/>
  <c r="J236" i="2"/>
  <c r="J237" i="2"/>
  <c r="J239" i="2"/>
  <c r="J240" i="2"/>
  <c r="J241" i="2"/>
  <c r="J242" i="2"/>
  <c r="J244" i="2"/>
  <c r="J245" i="2"/>
  <c r="J246" i="2"/>
  <c r="J247" i="2"/>
  <c r="J249" i="2"/>
  <c r="J250" i="2"/>
  <c r="J251" i="2"/>
  <c r="J252" i="2"/>
  <c r="J254" i="2"/>
  <c r="J255" i="2"/>
  <c r="J256" i="2"/>
  <c r="J257" i="2"/>
  <c r="J259" i="2"/>
  <c r="J260" i="2"/>
  <c r="J261" i="2"/>
  <c r="J262" i="2"/>
  <c r="J264" i="2"/>
  <c r="J265" i="2"/>
  <c r="J266" i="2"/>
  <c r="J267" i="2"/>
  <c r="J269" i="2"/>
  <c r="J270" i="2"/>
  <c r="J271" i="2"/>
  <c r="J272" i="2"/>
  <c r="J273" i="2"/>
  <c r="J274" i="2"/>
  <c r="J275" i="2"/>
  <c r="J276" i="2"/>
  <c r="J277" i="2"/>
  <c r="J278" i="2"/>
  <c r="J280" i="2"/>
  <c r="J281" i="2"/>
  <c r="J282" i="2"/>
  <c r="J283" i="2"/>
  <c r="J285" i="2"/>
  <c r="J286" i="2"/>
  <c r="J287" i="2"/>
  <c r="J288" i="2"/>
  <c r="J290" i="2"/>
  <c r="J291" i="2"/>
  <c r="J292" i="2"/>
  <c r="J293" i="2"/>
  <c r="J295" i="2"/>
  <c r="J296" i="2"/>
  <c r="J297" i="2"/>
  <c r="J298" i="2"/>
  <c r="J300" i="2"/>
  <c r="J301" i="2"/>
  <c r="J302" i="2"/>
  <c r="J303" i="2"/>
  <c r="J305" i="2"/>
  <c r="J306" i="2"/>
  <c r="J307" i="2"/>
  <c r="J308" i="2"/>
  <c r="J325" i="2"/>
  <c r="J326" i="2"/>
  <c r="J327" i="2"/>
  <c r="J328" i="2"/>
  <c r="J330" i="2"/>
  <c r="J331" i="2"/>
  <c r="J332" i="2"/>
  <c r="J333" i="2"/>
  <c r="J335" i="2"/>
  <c r="J336" i="2"/>
  <c r="J337" i="2"/>
  <c r="J338" i="2"/>
  <c r="J340" i="2"/>
  <c r="J341" i="2"/>
  <c r="J342" i="2"/>
  <c r="J343" i="2"/>
  <c r="J345" i="2"/>
  <c r="J346" i="2"/>
  <c r="J347" i="2"/>
  <c r="J348" i="2"/>
  <c r="J349" i="2"/>
  <c r="J350" i="2"/>
  <c r="J351" i="2"/>
  <c r="J352" i="2"/>
  <c r="J353" i="2"/>
  <c r="J354" i="2"/>
  <c r="J355" i="2"/>
  <c r="J356" i="2"/>
  <c r="J357" i="2"/>
  <c r="J358" i="2"/>
  <c r="J359" i="2"/>
  <c r="J360" i="2"/>
  <c r="J361" i="2"/>
  <c r="J363" i="2"/>
  <c r="J364" i="2"/>
  <c r="J365" i="2"/>
  <c r="J366" i="2"/>
  <c r="J368" i="2"/>
  <c r="J369" i="2"/>
  <c r="J370" i="2"/>
  <c r="J371" i="2"/>
  <c r="J372" i="2"/>
  <c r="J374" i="2"/>
  <c r="J375" i="2"/>
  <c r="J376" i="2"/>
  <c r="J377" i="2"/>
  <c r="J379" i="2"/>
  <c r="J380" i="2"/>
  <c r="J381" i="2"/>
  <c r="J382" i="2"/>
  <c r="J399" i="2"/>
  <c r="J400" i="2"/>
  <c r="J401" i="2"/>
  <c r="J402" i="2"/>
  <c r="J404" i="2"/>
  <c r="J405" i="2"/>
  <c r="J406" i="2"/>
  <c r="J407" i="2"/>
  <c r="J408" i="2"/>
  <c r="J409" i="2"/>
  <c r="J410" i="2"/>
  <c r="J422" i="2"/>
  <c r="J423" i="2"/>
  <c r="J425" i="2"/>
  <c r="J426" i="2"/>
  <c r="J427" i="2"/>
  <c r="J429" i="2"/>
  <c r="C115" i="12" s="1"/>
  <c r="J431" i="2"/>
  <c r="J432" i="2"/>
  <c r="J433" i="2"/>
  <c r="J434" i="2"/>
  <c r="J435" i="2"/>
  <c r="J436" i="2"/>
  <c r="J438" i="2"/>
  <c r="J439" i="2"/>
  <c r="J441" i="2"/>
  <c r="J442" i="2"/>
  <c r="J443" i="2"/>
  <c r="J444" i="2"/>
  <c r="J445" i="2"/>
  <c r="J446" i="2"/>
  <c r="J447" i="2"/>
  <c r="J448" i="2"/>
  <c r="J449" i="2"/>
  <c r="J450" i="2"/>
  <c r="J457" i="2"/>
  <c r="J458" i="2"/>
  <c r="J459" i="2"/>
  <c r="J460" i="2"/>
  <c r="J462" i="2"/>
  <c r="J463" i="2"/>
  <c r="J464" i="2"/>
  <c r="J465" i="2"/>
  <c r="J467" i="2"/>
  <c r="J468" i="2"/>
  <c r="J469" i="2"/>
  <c r="J470" i="2"/>
  <c r="J472" i="2"/>
  <c r="J473" i="2"/>
  <c r="J474" i="2"/>
  <c r="J475" i="2"/>
  <c r="J477" i="2"/>
  <c r="J478" i="2"/>
  <c r="J479" i="2"/>
  <c r="J480" i="2"/>
  <c r="J482" i="2"/>
  <c r="J483" i="2"/>
  <c r="J484" i="2"/>
  <c r="J485" i="2"/>
  <c r="J487" i="2"/>
  <c r="J488" i="2"/>
  <c r="J489" i="2"/>
  <c r="J490" i="2"/>
  <c r="J492" i="2"/>
  <c r="J493" i="2"/>
  <c r="J494" i="2"/>
  <c r="J495" i="2"/>
  <c r="J497" i="2"/>
  <c r="J498" i="2"/>
  <c r="J499" i="2"/>
  <c r="J500" i="2"/>
  <c r="J502" i="2"/>
  <c r="J503" i="2"/>
  <c r="J504" i="2"/>
  <c r="J505" i="2"/>
  <c r="J507" i="2"/>
  <c r="J508" i="2"/>
  <c r="J509" i="2"/>
  <c r="J510" i="2"/>
  <c r="J512" i="2"/>
  <c r="J513" i="2"/>
  <c r="J514" i="2"/>
  <c r="J515" i="2"/>
  <c r="J517" i="2"/>
  <c r="J518" i="2"/>
  <c r="J519" i="2"/>
  <c r="J520" i="2"/>
  <c r="J522" i="2"/>
  <c r="J523" i="2"/>
  <c r="J524" i="2"/>
  <c r="J525" i="2"/>
  <c r="J527" i="2"/>
  <c r="J528" i="2"/>
  <c r="J529" i="2"/>
  <c r="J530" i="2"/>
  <c r="J552" i="2"/>
  <c r="J553" i="2"/>
  <c r="J554" i="2"/>
  <c r="J555" i="2"/>
  <c r="J557" i="2"/>
  <c r="J558" i="2"/>
  <c r="J559" i="2"/>
  <c r="J560" i="2"/>
  <c r="J562" i="2"/>
  <c r="J563" i="2"/>
  <c r="J564" i="2"/>
  <c r="J565" i="2"/>
  <c r="J567" i="2"/>
  <c r="J568" i="2"/>
  <c r="J569" i="2"/>
  <c r="J570" i="2"/>
  <c r="D17" i="12"/>
  <c r="D18" i="12"/>
  <c r="J29" i="3"/>
  <c r="D19" i="12" s="1"/>
  <c r="J30" i="3"/>
  <c r="D20" i="12" s="1"/>
  <c r="J31" i="3"/>
  <c r="D21" i="12" s="1"/>
  <c r="J32" i="3"/>
  <c r="D22" i="12" s="1"/>
  <c r="J33" i="3"/>
  <c r="D23" i="12"/>
  <c r="J34" i="3"/>
  <c r="D24" i="12"/>
  <c r="J35" i="3"/>
  <c r="D25" i="12"/>
  <c r="J36" i="3"/>
  <c r="D26" i="12" s="1"/>
  <c r="J37" i="3"/>
  <c r="D27" i="12" s="1"/>
  <c r="J38" i="3"/>
  <c r="D28" i="12" s="1"/>
  <c r="J39" i="3"/>
  <c r="D29" i="12" s="1"/>
  <c r="J40" i="3"/>
  <c r="D30" i="12" s="1"/>
  <c r="J41" i="3"/>
  <c r="D31" i="12" s="1"/>
  <c r="J42" i="3"/>
  <c r="D32" i="12"/>
  <c r="J43" i="3"/>
  <c r="D33" i="12" s="1"/>
  <c r="J47" i="3"/>
  <c r="D35" i="12"/>
  <c r="J48" i="3"/>
  <c r="D36" i="12" s="1"/>
  <c r="J49" i="3"/>
  <c r="D37" i="12" s="1"/>
  <c r="J50" i="3"/>
  <c r="D38" i="12" s="1"/>
  <c r="J51" i="3"/>
  <c r="D39" i="12" s="1"/>
  <c r="J52" i="3"/>
  <c r="D40" i="12" s="1"/>
  <c r="J53" i="3"/>
  <c r="D41" i="12"/>
  <c r="J54" i="3"/>
  <c r="D42" i="12" s="1"/>
  <c r="J55" i="3"/>
  <c r="D43" i="12" s="1"/>
  <c r="J56" i="3"/>
  <c r="D44" i="12" s="1"/>
  <c r="J57" i="3"/>
  <c r="D45" i="12"/>
  <c r="J58" i="3"/>
  <c r="D46" i="12" s="1"/>
  <c r="J59" i="3"/>
  <c r="D47" i="12"/>
  <c r="J60" i="3"/>
  <c r="D48" i="12" s="1"/>
  <c r="J61" i="3"/>
  <c r="D49" i="12" s="1"/>
  <c r="K10" i="2"/>
  <c r="K11" i="2"/>
  <c r="K12" i="2"/>
  <c r="K13" i="2"/>
  <c r="K16" i="2"/>
  <c r="K17" i="2"/>
  <c r="K19" i="2"/>
  <c r="K20" i="2"/>
  <c r="K21" i="2"/>
  <c r="K22" i="2"/>
  <c r="K23" i="2"/>
  <c r="K24" i="2"/>
  <c r="K26" i="2"/>
  <c r="K27" i="2"/>
  <c r="K28" i="2"/>
  <c r="K29" i="2"/>
  <c r="K30" i="2"/>
  <c r="K31" i="2"/>
  <c r="K32" i="2"/>
  <c r="K33" i="2"/>
  <c r="K34" i="2"/>
  <c r="K36" i="2"/>
  <c r="K37" i="2"/>
  <c r="K38" i="2"/>
  <c r="K39" i="2"/>
  <c r="K40"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7" i="2"/>
  <c r="K78" i="2"/>
  <c r="K79" i="2"/>
  <c r="K80" i="2"/>
  <c r="K81" i="2"/>
  <c r="K83" i="2"/>
  <c r="K84" i="2"/>
  <c r="K85" i="2"/>
  <c r="K86" i="2"/>
  <c r="K87" i="2"/>
  <c r="K88" i="2"/>
  <c r="K89" i="2"/>
  <c r="K90" i="2"/>
  <c r="K91" i="2"/>
  <c r="K92" i="2"/>
  <c r="K93" i="2"/>
  <c r="K94" i="2"/>
  <c r="K96" i="2"/>
  <c r="K97" i="2"/>
  <c r="K98" i="2"/>
  <c r="K99" i="2"/>
  <c r="K100" i="2"/>
  <c r="K101" i="2"/>
  <c r="K102" i="2"/>
  <c r="K103" i="2"/>
  <c r="K104" i="2"/>
  <c r="K106" i="2"/>
  <c r="K107" i="2"/>
  <c r="K108" i="2"/>
  <c r="K109" i="2"/>
  <c r="K110" i="2"/>
  <c r="K112" i="2"/>
  <c r="K113" i="2"/>
  <c r="K114" i="2"/>
  <c r="K115" i="2"/>
  <c r="K116" i="2"/>
  <c r="K117" i="2"/>
  <c r="K118" i="2"/>
  <c r="K119" i="2"/>
  <c r="K121" i="2"/>
  <c r="K122" i="2"/>
  <c r="K123" i="2"/>
  <c r="K124" i="2"/>
  <c r="K126" i="2"/>
  <c r="K127" i="2"/>
  <c r="K128" i="2"/>
  <c r="K129" i="2"/>
  <c r="K130" i="2"/>
  <c r="K131" i="2"/>
  <c r="K132" i="2"/>
  <c r="K133" i="2"/>
  <c r="K134" i="2"/>
  <c r="K135" i="2"/>
  <c r="K136" i="2"/>
  <c r="K137" i="2"/>
  <c r="K138" i="2"/>
  <c r="K140" i="2"/>
  <c r="K141" i="2"/>
  <c r="K142" i="2"/>
  <c r="K143" i="2"/>
  <c r="K145" i="2"/>
  <c r="K146" i="2"/>
  <c r="K147" i="2"/>
  <c r="K148" i="2"/>
  <c r="K150" i="2"/>
  <c r="K151" i="2"/>
  <c r="K152" i="2"/>
  <c r="K153" i="2"/>
  <c r="K155" i="2"/>
  <c r="K156" i="2"/>
  <c r="K157" i="2"/>
  <c r="K158" i="2"/>
  <c r="K160" i="2"/>
  <c r="K161" i="2"/>
  <c r="K162" i="2"/>
  <c r="K163" i="2"/>
  <c r="K165" i="2"/>
  <c r="K166" i="2"/>
  <c r="K167" i="2"/>
  <c r="K168" i="2"/>
  <c r="K170" i="2"/>
  <c r="K171" i="2"/>
  <c r="K172" i="2"/>
  <c r="K173" i="2"/>
  <c r="K175" i="2"/>
  <c r="K176" i="2"/>
  <c r="K177" i="2"/>
  <c r="K178" i="2"/>
  <c r="K180" i="2"/>
  <c r="K181" i="2"/>
  <c r="K182" i="2"/>
  <c r="K183" i="2"/>
  <c r="K184" i="2"/>
  <c r="K186" i="2"/>
  <c r="K187" i="2"/>
  <c r="K188" i="2"/>
  <c r="K189" i="2"/>
  <c r="K190" i="2"/>
  <c r="K191" i="2"/>
  <c r="K192" i="2"/>
  <c r="K193" i="2"/>
  <c r="K194" i="2"/>
  <c r="K195" i="2"/>
  <c r="K196" i="2"/>
  <c r="K197" i="2"/>
  <c r="K205" i="2"/>
  <c r="K206" i="2"/>
  <c r="K207" i="2"/>
  <c r="K208" i="2"/>
  <c r="K209" i="2"/>
  <c r="K210" i="2"/>
  <c r="K212" i="2"/>
  <c r="K213" i="2"/>
  <c r="K214" i="2"/>
  <c r="K215" i="2"/>
  <c r="K216" i="2"/>
  <c r="K217" i="2"/>
  <c r="K218" i="2"/>
  <c r="K219" i="2"/>
  <c r="K220" i="2"/>
  <c r="K221" i="2"/>
  <c r="K222" i="2"/>
  <c r="K224" i="2"/>
  <c r="K225" i="2"/>
  <c r="K226" i="2"/>
  <c r="K227" i="2"/>
  <c r="K229" i="2"/>
  <c r="K230" i="2"/>
  <c r="K231" i="2"/>
  <c r="K233" i="2"/>
  <c r="K234" i="2"/>
  <c r="K236" i="2"/>
  <c r="K237" i="2"/>
  <c r="K239" i="2"/>
  <c r="K240" i="2"/>
  <c r="K241" i="2"/>
  <c r="K242" i="2"/>
  <c r="K244" i="2"/>
  <c r="K245" i="2"/>
  <c r="K246" i="2"/>
  <c r="K247" i="2"/>
  <c r="K249" i="2"/>
  <c r="K250" i="2"/>
  <c r="K251" i="2"/>
  <c r="K252" i="2"/>
  <c r="K254" i="2"/>
  <c r="K255" i="2"/>
  <c r="K256" i="2"/>
  <c r="K257" i="2"/>
  <c r="K259" i="2"/>
  <c r="K260" i="2"/>
  <c r="K261" i="2"/>
  <c r="K262" i="2"/>
  <c r="K264" i="2"/>
  <c r="K265" i="2"/>
  <c r="K266" i="2"/>
  <c r="K267" i="2"/>
  <c r="K269" i="2"/>
  <c r="K270" i="2"/>
  <c r="K271" i="2"/>
  <c r="K272" i="2"/>
  <c r="K273" i="2"/>
  <c r="K274" i="2"/>
  <c r="K275" i="2"/>
  <c r="K276" i="2"/>
  <c r="K277" i="2"/>
  <c r="K278" i="2"/>
  <c r="K280" i="2"/>
  <c r="K281" i="2"/>
  <c r="K282" i="2"/>
  <c r="K283" i="2"/>
  <c r="K285" i="2"/>
  <c r="K286" i="2"/>
  <c r="K287" i="2"/>
  <c r="K288" i="2"/>
  <c r="K290" i="2"/>
  <c r="K291" i="2"/>
  <c r="K292" i="2"/>
  <c r="K293" i="2"/>
  <c r="K295" i="2"/>
  <c r="K296" i="2"/>
  <c r="K297" i="2"/>
  <c r="K298" i="2"/>
  <c r="K300" i="2"/>
  <c r="K301" i="2"/>
  <c r="K302" i="2"/>
  <c r="K303" i="2"/>
  <c r="K305" i="2"/>
  <c r="K306" i="2"/>
  <c r="K307" i="2"/>
  <c r="K308" i="2"/>
  <c r="K325" i="2"/>
  <c r="K326" i="2"/>
  <c r="K327" i="2"/>
  <c r="K328" i="2"/>
  <c r="K330" i="2"/>
  <c r="K331" i="2"/>
  <c r="K332" i="2"/>
  <c r="K333" i="2"/>
  <c r="K335" i="2"/>
  <c r="K336" i="2"/>
  <c r="K337" i="2"/>
  <c r="K338" i="2"/>
  <c r="K340" i="2"/>
  <c r="K341" i="2"/>
  <c r="K342" i="2"/>
  <c r="K343" i="2"/>
  <c r="K345" i="2"/>
  <c r="K346" i="2"/>
  <c r="K347" i="2"/>
  <c r="K348" i="2"/>
  <c r="K349" i="2"/>
  <c r="K350" i="2"/>
  <c r="K351" i="2"/>
  <c r="K352" i="2"/>
  <c r="K353" i="2"/>
  <c r="K354" i="2"/>
  <c r="K355" i="2"/>
  <c r="K356" i="2"/>
  <c r="K357" i="2"/>
  <c r="K358" i="2"/>
  <c r="K359" i="2"/>
  <c r="K360" i="2"/>
  <c r="K361" i="2"/>
  <c r="K363" i="2"/>
  <c r="K364" i="2"/>
  <c r="K365" i="2"/>
  <c r="K366" i="2"/>
  <c r="K368" i="2"/>
  <c r="K369" i="2"/>
  <c r="K370" i="2"/>
  <c r="K371" i="2"/>
  <c r="K372" i="2"/>
  <c r="K374" i="2"/>
  <c r="K375" i="2"/>
  <c r="K376" i="2"/>
  <c r="K377" i="2"/>
  <c r="K379" i="2"/>
  <c r="K380" i="2"/>
  <c r="K381" i="2"/>
  <c r="K382" i="2"/>
  <c r="K399" i="2"/>
  <c r="K400" i="2"/>
  <c r="K401" i="2"/>
  <c r="K402" i="2"/>
  <c r="K404" i="2"/>
  <c r="K405" i="2"/>
  <c r="K406" i="2"/>
  <c r="K407" i="2"/>
  <c r="K408" i="2"/>
  <c r="K409" i="2"/>
  <c r="K410" i="2"/>
  <c r="K422" i="2"/>
  <c r="K423" i="2"/>
  <c r="K425" i="2"/>
  <c r="K426" i="2"/>
  <c r="K427" i="2"/>
  <c r="K429" i="2"/>
  <c r="D115" i="12" s="1"/>
  <c r="K431" i="2"/>
  <c r="K432" i="2"/>
  <c r="K433" i="2"/>
  <c r="K434" i="2"/>
  <c r="K435" i="2"/>
  <c r="K436" i="2"/>
  <c r="K438" i="2"/>
  <c r="K439" i="2"/>
  <c r="K441" i="2"/>
  <c r="K442" i="2"/>
  <c r="K443" i="2"/>
  <c r="K444" i="2"/>
  <c r="K445" i="2"/>
  <c r="K446" i="2"/>
  <c r="K447" i="2"/>
  <c r="K448" i="2"/>
  <c r="K449" i="2"/>
  <c r="K450" i="2"/>
  <c r="K457" i="2"/>
  <c r="K458" i="2"/>
  <c r="K459" i="2"/>
  <c r="K460" i="2"/>
  <c r="K462" i="2"/>
  <c r="K463" i="2"/>
  <c r="K464" i="2"/>
  <c r="K465" i="2"/>
  <c r="K467" i="2"/>
  <c r="K468" i="2"/>
  <c r="K469" i="2"/>
  <c r="K470" i="2"/>
  <c r="K472" i="2"/>
  <c r="K473" i="2"/>
  <c r="K474" i="2"/>
  <c r="K475" i="2"/>
  <c r="K477" i="2"/>
  <c r="K478" i="2"/>
  <c r="K479" i="2"/>
  <c r="K480" i="2"/>
  <c r="K482" i="2"/>
  <c r="K483" i="2"/>
  <c r="K484" i="2"/>
  <c r="K485" i="2"/>
  <c r="K487" i="2"/>
  <c r="K488" i="2"/>
  <c r="K489" i="2"/>
  <c r="K490" i="2"/>
  <c r="K492" i="2"/>
  <c r="K493" i="2"/>
  <c r="K494" i="2"/>
  <c r="K495" i="2"/>
  <c r="K497" i="2"/>
  <c r="K498" i="2"/>
  <c r="K499" i="2"/>
  <c r="K500" i="2"/>
  <c r="K502" i="2"/>
  <c r="K503" i="2"/>
  <c r="K504" i="2"/>
  <c r="K505" i="2"/>
  <c r="K507" i="2"/>
  <c r="K508" i="2"/>
  <c r="K509" i="2"/>
  <c r="K510" i="2"/>
  <c r="K512" i="2"/>
  <c r="K513" i="2"/>
  <c r="K514" i="2"/>
  <c r="K515" i="2"/>
  <c r="K517" i="2"/>
  <c r="K518" i="2"/>
  <c r="K519" i="2"/>
  <c r="K520" i="2"/>
  <c r="K522" i="2"/>
  <c r="K523" i="2"/>
  <c r="K524" i="2"/>
  <c r="K525" i="2"/>
  <c r="K527" i="2"/>
  <c r="K528" i="2"/>
  <c r="K529" i="2"/>
  <c r="K530" i="2"/>
  <c r="K552" i="2"/>
  <c r="K553" i="2"/>
  <c r="K554" i="2"/>
  <c r="K555" i="2"/>
  <c r="K557" i="2"/>
  <c r="K558" i="2"/>
  <c r="K559" i="2"/>
  <c r="K560" i="2"/>
  <c r="K562" i="2"/>
  <c r="K563" i="2"/>
  <c r="K564" i="2"/>
  <c r="K565" i="2"/>
  <c r="K567" i="2"/>
  <c r="K568" i="2"/>
  <c r="K569" i="2"/>
  <c r="K570" i="2"/>
  <c r="E18" i="12"/>
  <c r="K29" i="3"/>
  <c r="E19" i="12" s="1"/>
  <c r="K30" i="3"/>
  <c r="K31" i="3"/>
  <c r="E21" i="12" s="1"/>
  <c r="K32" i="3"/>
  <c r="E22" i="12" s="1"/>
  <c r="K33" i="3"/>
  <c r="E23" i="12" s="1"/>
  <c r="K34" i="3"/>
  <c r="K35" i="3"/>
  <c r="E25" i="12" s="1"/>
  <c r="K36" i="3"/>
  <c r="E26" i="12" s="1"/>
  <c r="K37" i="3"/>
  <c r="E27" i="12" s="1"/>
  <c r="K38" i="3"/>
  <c r="E28" i="12" s="1"/>
  <c r="K39" i="3"/>
  <c r="E29" i="12" s="1"/>
  <c r="K40" i="3"/>
  <c r="E30" i="12" s="1"/>
  <c r="K41" i="3"/>
  <c r="E31" i="12" s="1"/>
  <c r="K42" i="3"/>
  <c r="E32" i="12" s="1"/>
  <c r="K43" i="3"/>
  <c r="E33" i="12" s="1"/>
  <c r="K47" i="3"/>
  <c r="E35" i="12" s="1"/>
  <c r="K48" i="3"/>
  <c r="E36" i="12" s="1"/>
  <c r="K49" i="3"/>
  <c r="E37" i="12" s="1"/>
  <c r="K50" i="3"/>
  <c r="E38" i="12" s="1"/>
  <c r="K51" i="3"/>
  <c r="E39" i="12" s="1"/>
  <c r="K52" i="3"/>
  <c r="E40" i="12" s="1"/>
  <c r="K53" i="3"/>
  <c r="E41" i="12" s="1"/>
  <c r="K54" i="3"/>
  <c r="E42" i="12" s="1"/>
  <c r="K55" i="3"/>
  <c r="E43" i="12" s="1"/>
  <c r="K56" i="3"/>
  <c r="E44" i="12" s="1"/>
  <c r="K57" i="3"/>
  <c r="E45" i="12" s="1"/>
  <c r="K58" i="3"/>
  <c r="E46" i="12" s="1"/>
  <c r="K59" i="3"/>
  <c r="E47" i="12" s="1"/>
  <c r="K60" i="3"/>
  <c r="E48" i="12" s="1"/>
  <c r="K61" i="3"/>
  <c r="L10" i="2"/>
  <c r="L11" i="2"/>
  <c r="L12" i="2"/>
  <c r="L13" i="2"/>
  <c r="L16" i="2"/>
  <c r="L17" i="2"/>
  <c r="L19" i="2"/>
  <c r="L20" i="2"/>
  <c r="L21" i="2"/>
  <c r="L22" i="2"/>
  <c r="L23" i="2"/>
  <c r="L24" i="2"/>
  <c r="L26" i="2"/>
  <c r="L27" i="2"/>
  <c r="L28" i="2"/>
  <c r="L29" i="2"/>
  <c r="L30" i="2"/>
  <c r="L31" i="2"/>
  <c r="L32" i="2"/>
  <c r="L33" i="2"/>
  <c r="L34" i="2"/>
  <c r="L36" i="2"/>
  <c r="L37" i="2"/>
  <c r="L38" i="2"/>
  <c r="L39" i="2"/>
  <c r="L40"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7" i="2"/>
  <c r="L78" i="2"/>
  <c r="L79" i="2"/>
  <c r="L80" i="2"/>
  <c r="L81" i="2"/>
  <c r="L83" i="2"/>
  <c r="L84" i="2"/>
  <c r="L85" i="2"/>
  <c r="L86" i="2"/>
  <c r="L87" i="2"/>
  <c r="L88" i="2"/>
  <c r="L89" i="2"/>
  <c r="L90" i="2"/>
  <c r="L91" i="2"/>
  <c r="L92" i="2"/>
  <c r="L93" i="2"/>
  <c r="L94" i="2"/>
  <c r="L96" i="2"/>
  <c r="L97" i="2"/>
  <c r="L98" i="2"/>
  <c r="L99" i="2"/>
  <c r="L100" i="2"/>
  <c r="L101" i="2"/>
  <c r="L102" i="2"/>
  <c r="L103" i="2"/>
  <c r="L104" i="2"/>
  <c r="L106" i="2"/>
  <c r="L107" i="2"/>
  <c r="L108" i="2"/>
  <c r="L109" i="2"/>
  <c r="L110" i="2"/>
  <c r="L112" i="2"/>
  <c r="L113" i="2"/>
  <c r="L114" i="2"/>
  <c r="L115" i="2"/>
  <c r="L116" i="2"/>
  <c r="L117" i="2"/>
  <c r="L118" i="2"/>
  <c r="L119" i="2"/>
  <c r="L121" i="2"/>
  <c r="L122" i="2"/>
  <c r="L123" i="2"/>
  <c r="L124" i="2"/>
  <c r="L126" i="2"/>
  <c r="L127" i="2"/>
  <c r="L128" i="2"/>
  <c r="L129" i="2"/>
  <c r="L130" i="2"/>
  <c r="L131" i="2"/>
  <c r="L132" i="2"/>
  <c r="L133" i="2"/>
  <c r="L134" i="2"/>
  <c r="L135" i="2"/>
  <c r="L136" i="2"/>
  <c r="L137" i="2"/>
  <c r="L138" i="2"/>
  <c r="L140" i="2"/>
  <c r="L141" i="2"/>
  <c r="L142" i="2"/>
  <c r="L143" i="2"/>
  <c r="L145" i="2"/>
  <c r="L146" i="2"/>
  <c r="L147" i="2"/>
  <c r="L148" i="2"/>
  <c r="L150" i="2"/>
  <c r="L151" i="2"/>
  <c r="L152" i="2"/>
  <c r="L153" i="2"/>
  <c r="L155" i="2"/>
  <c r="L156" i="2"/>
  <c r="L157" i="2"/>
  <c r="L158" i="2"/>
  <c r="L160" i="2"/>
  <c r="L161" i="2"/>
  <c r="L162" i="2"/>
  <c r="L163" i="2"/>
  <c r="L165" i="2"/>
  <c r="L166" i="2"/>
  <c r="L167" i="2"/>
  <c r="L168" i="2"/>
  <c r="L170" i="2"/>
  <c r="L171" i="2"/>
  <c r="L172" i="2"/>
  <c r="L173" i="2"/>
  <c r="L175" i="2"/>
  <c r="L176" i="2"/>
  <c r="L177" i="2"/>
  <c r="L178" i="2"/>
  <c r="L180" i="2"/>
  <c r="L181" i="2"/>
  <c r="L182" i="2"/>
  <c r="L183" i="2"/>
  <c r="L184" i="2"/>
  <c r="L186" i="2"/>
  <c r="L187" i="2"/>
  <c r="L188" i="2"/>
  <c r="L189" i="2"/>
  <c r="L190" i="2"/>
  <c r="L191" i="2"/>
  <c r="L192" i="2"/>
  <c r="L193" i="2"/>
  <c r="L194" i="2"/>
  <c r="L195" i="2"/>
  <c r="L196" i="2"/>
  <c r="L197" i="2"/>
  <c r="L205" i="2"/>
  <c r="L206" i="2"/>
  <c r="L207" i="2"/>
  <c r="L208" i="2"/>
  <c r="L209" i="2"/>
  <c r="L210" i="2"/>
  <c r="L212" i="2"/>
  <c r="L213" i="2"/>
  <c r="L214" i="2"/>
  <c r="L215" i="2"/>
  <c r="L216" i="2"/>
  <c r="L217" i="2"/>
  <c r="L218" i="2"/>
  <c r="L219" i="2"/>
  <c r="L220" i="2"/>
  <c r="L221" i="2"/>
  <c r="L222" i="2"/>
  <c r="L224" i="2"/>
  <c r="L225" i="2"/>
  <c r="L226" i="2"/>
  <c r="L227" i="2"/>
  <c r="L229" i="2"/>
  <c r="L230" i="2"/>
  <c r="L231" i="2"/>
  <c r="L233" i="2"/>
  <c r="L234" i="2"/>
  <c r="L236" i="2"/>
  <c r="L237" i="2"/>
  <c r="L239" i="2"/>
  <c r="L240" i="2"/>
  <c r="L241" i="2"/>
  <c r="L242" i="2"/>
  <c r="L244" i="2"/>
  <c r="L245" i="2"/>
  <c r="L246" i="2"/>
  <c r="L247" i="2"/>
  <c r="L249" i="2"/>
  <c r="L250" i="2"/>
  <c r="L251" i="2"/>
  <c r="L252" i="2"/>
  <c r="L254" i="2"/>
  <c r="L255" i="2"/>
  <c r="L256" i="2"/>
  <c r="L257" i="2"/>
  <c r="L259" i="2"/>
  <c r="L260" i="2"/>
  <c r="L261" i="2"/>
  <c r="L262" i="2"/>
  <c r="L264" i="2"/>
  <c r="L265" i="2"/>
  <c r="L266" i="2"/>
  <c r="L267" i="2"/>
  <c r="L269" i="2"/>
  <c r="L270" i="2"/>
  <c r="L271" i="2"/>
  <c r="L272" i="2"/>
  <c r="L273" i="2"/>
  <c r="L274" i="2"/>
  <c r="L275" i="2"/>
  <c r="L276" i="2"/>
  <c r="L277" i="2"/>
  <c r="L278" i="2"/>
  <c r="L280" i="2"/>
  <c r="L281" i="2"/>
  <c r="L282" i="2"/>
  <c r="L283" i="2"/>
  <c r="L285" i="2"/>
  <c r="L286" i="2"/>
  <c r="L287" i="2"/>
  <c r="L288" i="2"/>
  <c r="L290" i="2"/>
  <c r="L291" i="2"/>
  <c r="L292" i="2"/>
  <c r="L293" i="2"/>
  <c r="L295" i="2"/>
  <c r="L296" i="2"/>
  <c r="L297" i="2"/>
  <c r="L298" i="2"/>
  <c r="L300" i="2"/>
  <c r="L301" i="2"/>
  <c r="L302" i="2"/>
  <c r="L303" i="2"/>
  <c r="L305" i="2"/>
  <c r="L306" i="2"/>
  <c r="L307" i="2"/>
  <c r="L308" i="2"/>
  <c r="L325" i="2"/>
  <c r="L326" i="2"/>
  <c r="L327" i="2"/>
  <c r="L328" i="2"/>
  <c r="L330" i="2"/>
  <c r="L331" i="2"/>
  <c r="L332" i="2"/>
  <c r="L333" i="2"/>
  <c r="L335" i="2"/>
  <c r="L336" i="2"/>
  <c r="L337" i="2"/>
  <c r="L338" i="2"/>
  <c r="L340" i="2"/>
  <c r="L341" i="2"/>
  <c r="L342" i="2"/>
  <c r="L343" i="2"/>
  <c r="L345" i="2"/>
  <c r="L346" i="2"/>
  <c r="L347" i="2"/>
  <c r="L348" i="2"/>
  <c r="L349" i="2"/>
  <c r="L350" i="2"/>
  <c r="L351" i="2"/>
  <c r="L352" i="2"/>
  <c r="L353" i="2"/>
  <c r="L354" i="2"/>
  <c r="L355" i="2"/>
  <c r="L356" i="2"/>
  <c r="L357" i="2"/>
  <c r="L358" i="2"/>
  <c r="L359" i="2"/>
  <c r="L360" i="2"/>
  <c r="L361" i="2"/>
  <c r="L363" i="2"/>
  <c r="L364" i="2"/>
  <c r="L365" i="2"/>
  <c r="L366" i="2"/>
  <c r="L368" i="2"/>
  <c r="L369" i="2"/>
  <c r="L370" i="2"/>
  <c r="L371" i="2"/>
  <c r="L372" i="2"/>
  <c r="L374" i="2"/>
  <c r="L375" i="2"/>
  <c r="L376" i="2"/>
  <c r="L377" i="2"/>
  <c r="L379" i="2"/>
  <c r="L380" i="2"/>
  <c r="L381" i="2"/>
  <c r="L382" i="2"/>
  <c r="L399" i="2"/>
  <c r="E112" i="12" s="1"/>
  <c r="L400" i="2"/>
  <c r="L401" i="2"/>
  <c r="L402" i="2"/>
  <c r="L404" i="2"/>
  <c r="L405" i="2"/>
  <c r="L406" i="2"/>
  <c r="L407" i="2"/>
  <c r="L408" i="2"/>
  <c r="L409" i="2"/>
  <c r="L410" i="2"/>
  <c r="L422" i="2"/>
  <c r="L423" i="2"/>
  <c r="L425" i="2"/>
  <c r="L426" i="2"/>
  <c r="L427" i="2"/>
  <c r="L429" i="2"/>
  <c r="E115" i="12" s="1"/>
  <c r="L431" i="2"/>
  <c r="L432" i="2"/>
  <c r="L433" i="2"/>
  <c r="L434" i="2"/>
  <c r="L435" i="2"/>
  <c r="L436" i="2"/>
  <c r="L438" i="2"/>
  <c r="L439" i="2"/>
  <c r="L441" i="2"/>
  <c r="L442" i="2"/>
  <c r="L443" i="2"/>
  <c r="L444" i="2"/>
  <c r="L445" i="2"/>
  <c r="L446" i="2"/>
  <c r="L447" i="2"/>
  <c r="L448" i="2"/>
  <c r="L449" i="2"/>
  <c r="L450" i="2"/>
  <c r="L457" i="2"/>
  <c r="L458" i="2"/>
  <c r="L459" i="2"/>
  <c r="L460" i="2"/>
  <c r="L462" i="2"/>
  <c r="L463" i="2"/>
  <c r="L464" i="2"/>
  <c r="L465" i="2"/>
  <c r="L467" i="2"/>
  <c r="L468" i="2"/>
  <c r="L469" i="2"/>
  <c r="L470" i="2"/>
  <c r="L472" i="2"/>
  <c r="L473" i="2"/>
  <c r="L474" i="2"/>
  <c r="L475" i="2"/>
  <c r="L477" i="2"/>
  <c r="L478" i="2"/>
  <c r="L479" i="2"/>
  <c r="L480" i="2"/>
  <c r="L482" i="2"/>
  <c r="L483" i="2"/>
  <c r="L484" i="2"/>
  <c r="L485" i="2"/>
  <c r="L487" i="2"/>
  <c r="L488" i="2"/>
  <c r="L489" i="2"/>
  <c r="L490" i="2"/>
  <c r="L492" i="2"/>
  <c r="L493" i="2"/>
  <c r="L494" i="2"/>
  <c r="L495" i="2"/>
  <c r="L497" i="2"/>
  <c r="L498" i="2"/>
  <c r="L499" i="2"/>
  <c r="L500" i="2"/>
  <c r="L502" i="2"/>
  <c r="L503" i="2"/>
  <c r="L504" i="2"/>
  <c r="L505" i="2"/>
  <c r="L507" i="2"/>
  <c r="L508" i="2"/>
  <c r="L509" i="2"/>
  <c r="L510" i="2"/>
  <c r="L512" i="2"/>
  <c r="L513" i="2"/>
  <c r="L514" i="2"/>
  <c r="L515" i="2"/>
  <c r="L517" i="2"/>
  <c r="L518" i="2"/>
  <c r="L519" i="2"/>
  <c r="L520" i="2"/>
  <c r="L522" i="2"/>
  <c r="L523" i="2"/>
  <c r="L524" i="2"/>
  <c r="L525" i="2"/>
  <c r="L527" i="2"/>
  <c r="L528" i="2"/>
  <c r="L529" i="2"/>
  <c r="L530" i="2"/>
  <c r="L552" i="2"/>
  <c r="L553" i="2"/>
  <c r="L554" i="2"/>
  <c r="L555" i="2"/>
  <c r="L557" i="2"/>
  <c r="L558" i="2"/>
  <c r="L559" i="2"/>
  <c r="L560" i="2"/>
  <c r="L562" i="2"/>
  <c r="L563" i="2"/>
  <c r="L564" i="2"/>
  <c r="L565" i="2"/>
  <c r="L567" i="2"/>
  <c r="L568" i="2"/>
  <c r="L569" i="2"/>
  <c r="L570" i="2"/>
  <c r="F17" i="12"/>
  <c r="F18" i="12"/>
  <c r="L29" i="3"/>
  <c r="F19" i="12" s="1"/>
  <c r="L30" i="3"/>
  <c r="F20" i="12" s="1"/>
  <c r="L31" i="3"/>
  <c r="F21" i="12" s="1"/>
  <c r="L32" i="3"/>
  <c r="L33" i="3"/>
  <c r="F23" i="12" s="1"/>
  <c r="L34" i="3"/>
  <c r="F24" i="12" s="1"/>
  <c r="L35" i="3"/>
  <c r="F25" i="12" s="1"/>
  <c r="L36" i="3"/>
  <c r="F26" i="12" s="1"/>
  <c r="L37" i="3"/>
  <c r="F27" i="12" s="1"/>
  <c r="L38" i="3"/>
  <c r="F28" i="12" s="1"/>
  <c r="L39" i="3"/>
  <c r="F29" i="12" s="1"/>
  <c r="L40" i="3"/>
  <c r="F30" i="12" s="1"/>
  <c r="L41" i="3"/>
  <c r="F31" i="12" s="1"/>
  <c r="L42" i="3"/>
  <c r="F32" i="12" s="1"/>
  <c r="L43" i="3"/>
  <c r="F33" i="12" s="1"/>
  <c r="L47" i="3"/>
  <c r="F35" i="12" s="1"/>
  <c r="L48" i="3"/>
  <c r="F36" i="12" s="1"/>
  <c r="L49" i="3"/>
  <c r="F37" i="12" s="1"/>
  <c r="L50" i="3"/>
  <c r="F38" i="12" s="1"/>
  <c r="L51" i="3"/>
  <c r="F39" i="12" s="1"/>
  <c r="L52" i="3"/>
  <c r="F40" i="12" s="1"/>
  <c r="F41" i="12"/>
  <c r="L54" i="3"/>
  <c r="F42" i="12" s="1"/>
  <c r="L55" i="3"/>
  <c r="F43" i="12" s="1"/>
  <c r="L56" i="3"/>
  <c r="F44" i="12" s="1"/>
  <c r="L57" i="3"/>
  <c r="F45" i="12" s="1"/>
  <c r="L58" i="3"/>
  <c r="F46" i="12" s="1"/>
  <c r="L59" i="3"/>
  <c r="F47" i="12" s="1"/>
  <c r="L60" i="3"/>
  <c r="F48" i="12" s="1"/>
  <c r="L61" i="3"/>
  <c r="F49" i="12" s="1"/>
  <c r="M10" i="2"/>
  <c r="M11" i="2"/>
  <c r="M12" i="2"/>
  <c r="M13" i="2"/>
  <c r="M15" i="2"/>
  <c r="M16" i="2"/>
  <c r="M17" i="2"/>
  <c r="M19" i="2"/>
  <c r="M20" i="2"/>
  <c r="M21" i="2"/>
  <c r="M22" i="2"/>
  <c r="M23" i="2"/>
  <c r="M24" i="2"/>
  <c r="M26" i="2"/>
  <c r="M27" i="2"/>
  <c r="M28" i="2"/>
  <c r="M29" i="2"/>
  <c r="M30" i="2"/>
  <c r="M31" i="2"/>
  <c r="M32" i="2"/>
  <c r="M33" i="2"/>
  <c r="M34" i="2"/>
  <c r="M36" i="2"/>
  <c r="M37" i="2"/>
  <c r="M38" i="2"/>
  <c r="M39" i="2"/>
  <c r="M40"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7" i="2"/>
  <c r="M78" i="2"/>
  <c r="M79" i="2"/>
  <c r="M80" i="2"/>
  <c r="M81" i="2"/>
  <c r="M83" i="2"/>
  <c r="M84" i="2"/>
  <c r="M85" i="2"/>
  <c r="M86" i="2"/>
  <c r="M87" i="2"/>
  <c r="M88" i="2"/>
  <c r="M89" i="2"/>
  <c r="M90" i="2"/>
  <c r="M91" i="2"/>
  <c r="M92" i="2"/>
  <c r="M93" i="2"/>
  <c r="M94" i="2"/>
  <c r="M96" i="2"/>
  <c r="M97" i="2"/>
  <c r="M98" i="2"/>
  <c r="M99" i="2"/>
  <c r="M100" i="2"/>
  <c r="M101" i="2"/>
  <c r="M102" i="2"/>
  <c r="M103" i="2"/>
  <c r="M104" i="2"/>
  <c r="M106" i="2"/>
  <c r="M107" i="2"/>
  <c r="M108" i="2"/>
  <c r="M109" i="2"/>
  <c r="M110" i="2"/>
  <c r="M112" i="2"/>
  <c r="M113" i="2"/>
  <c r="M114" i="2"/>
  <c r="M115" i="2"/>
  <c r="M116" i="2"/>
  <c r="M117" i="2"/>
  <c r="M118" i="2"/>
  <c r="M119" i="2"/>
  <c r="M121" i="2"/>
  <c r="M122" i="2"/>
  <c r="M123" i="2"/>
  <c r="M124" i="2"/>
  <c r="M126" i="2"/>
  <c r="M127" i="2"/>
  <c r="M128" i="2"/>
  <c r="M129" i="2"/>
  <c r="M130" i="2"/>
  <c r="M131" i="2"/>
  <c r="M132" i="2"/>
  <c r="M133" i="2"/>
  <c r="M134" i="2"/>
  <c r="M135" i="2"/>
  <c r="M136" i="2"/>
  <c r="M137" i="2"/>
  <c r="M138" i="2"/>
  <c r="M140" i="2"/>
  <c r="M141" i="2"/>
  <c r="M142" i="2"/>
  <c r="M143" i="2"/>
  <c r="M145" i="2"/>
  <c r="M146" i="2"/>
  <c r="M147" i="2"/>
  <c r="M148" i="2"/>
  <c r="M150" i="2"/>
  <c r="M151" i="2"/>
  <c r="M152" i="2"/>
  <c r="M153" i="2"/>
  <c r="M155" i="2"/>
  <c r="M156" i="2"/>
  <c r="M157" i="2"/>
  <c r="M158" i="2"/>
  <c r="M160" i="2"/>
  <c r="M161" i="2"/>
  <c r="M162" i="2"/>
  <c r="M163" i="2"/>
  <c r="M165" i="2"/>
  <c r="M166" i="2"/>
  <c r="M167" i="2"/>
  <c r="M168" i="2"/>
  <c r="M170" i="2"/>
  <c r="M171" i="2"/>
  <c r="M172" i="2"/>
  <c r="M173" i="2"/>
  <c r="M175" i="2"/>
  <c r="M176" i="2"/>
  <c r="M177" i="2"/>
  <c r="M178" i="2"/>
  <c r="M180" i="2"/>
  <c r="M181" i="2"/>
  <c r="M182" i="2"/>
  <c r="M183" i="2"/>
  <c r="M184" i="2"/>
  <c r="M186" i="2"/>
  <c r="M187" i="2"/>
  <c r="M188" i="2"/>
  <c r="M189" i="2"/>
  <c r="M190" i="2"/>
  <c r="M191" i="2"/>
  <c r="M192" i="2"/>
  <c r="M193" i="2"/>
  <c r="M194" i="2"/>
  <c r="M195" i="2"/>
  <c r="M196" i="2"/>
  <c r="M197" i="2"/>
  <c r="M205" i="2"/>
  <c r="M206" i="2"/>
  <c r="M207" i="2"/>
  <c r="M208" i="2"/>
  <c r="M209" i="2"/>
  <c r="M210" i="2"/>
  <c r="M212" i="2"/>
  <c r="M213" i="2"/>
  <c r="M214" i="2"/>
  <c r="M215" i="2"/>
  <c r="M216" i="2"/>
  <c r="M217" i="2"/>
  <c r="M218" i="2"/>
  <c r="M219" i="2"/>
  <c r="M220" i="2"/>
  <c r="M221" i="2"/>
  <c r="M222" i="2"/>
  <c r="M224" i="2"/>
  <c r="M225" i="2"/>
  <c r="M226" i="2"/>
  <c r="M227" i="2"/>
  <c r="M229" i="2"/>
  <c r="M230" i="2"/>
  <c r="M231" i="2"/>
  <c r="M233" i="2"/>
  <c r="M234" i="2"/>
  <c r="M236" i="2"/>
  <c r="M237" i="2"/>
  <c r="F83" i="12" s="1"/>
  <c r="M239" i="2"/>
  <c r="M240" i="2"/>
  <c r="M241" i="2"/>
  <c r="M242" i="2"/>
  <c r="M244" i="2"/>
  <c r="M245" i="2"/>
  <c r="M246" i="2"/>
  <c r="M247" i="2"/>
  <c r="M249" i="2"/>
  <c r="M250" i="2"/>
  <c r="M251" i="2"/>
  <c r="M252" i="2"/>
  <c r="M254" i="2"/>
  <c r="M255" i="2"/>
  <c r="M256" i="2"/>
  <c r="M257" i="2"/>
  <c r="M259" i="2"/>
  <c r="M260" i="2"/>
  <c r="M261" i="2"/>
  <c r="M262" i="2"/>
  <c r="M264" i="2"/>
  <c r="M265" i="2"/>
  <c r="M266" i="2"/>
  <c r="M267" i="2"/>
  <c r="M269" i="2"/>
  <c r="M270" i="2"/>
  <c r="M271" i="2"/>
  <c r="M272" i="2"/>
  <c r="M273" i="2"/>
  <c r="M274" i="2"/>
  <c r="M275" i="2"/>
  <c r="M276" i="2"/>
  <c r="M277" i="2"/>
  <c r="M278" i="2"/>
  <c r="M280" i="2"/>
  <c r="M281" i="2"/>
  <c r="M282" i="2"/>
  <c r="M283" i="2"/>
  <c r="M285" i="2"/>
  <c r="M286" i="2"/>
  <c r="M287" i="2"/>
  <c r="M288" i="2"/>
  <c r="M290" i="2"/>
  <c r="M291" i="2"/>
  <c r="M292" i="2"/>
  <c r="M293" i="2"/>
  <c r="M295" i="2"/>
  <c r="M296" i="2"/>
  <c r="M297" i="2"/>
  <c r="M298" i="2"/>
  <c r="M300" i="2"/>
  <c r="M301" i="2"/>
  <c r="M302" i="2"/>
  <c r="M303" i="2"/>
  <c r="M305" i="2"/>
  <c r="M306" i="2"/>
  <c r="M307" i="2"/>
  <c r="M308" i="2"/>
  <c r="M325" i="2"/>
  <c r="M326" i="2"/>
  <c r="M327" i="2"/>
  <c r="M328" i="2"/>
  <c r="M330" i="2"/>
  <c r="M331" i="2"/>
  <c r="M332" i="2"/>
  <c r="M333" i="2"/>
  <c r="M335" i="2"/>
  <c r="M336" i="2"/>
  <c r="M337" i="2"/>
  <c r="M338" i="2"/>
  <c r="M340" i="2"/>
  <c r="M341" i="2"/>
  <c r="M342" i="2"/>
  <c r="M343" i="2"/>
  <c r="M345" i="2"/>
  <c r="M346" i="2"/>
  <c r="M347" i="2"/>
  <c r="M348" i="2"/>
  <c r="M349" i="2"/>
  <c r="M350" i="2"/>
  <c r="M351" i="2"/>
  <c r="M352" i="2"/>
  <c r="M353" i="2"/>
  <c r="M354" i="2"/>
  <c r="M355" i="2"/>
  <c r="M356" i="2"/>
  <c r="M357" i="2"/>
  <c r="M358" i="2"/>
  <c r="M359" i="2"/>
  <c r="M360" i="2"/>
  <c r="M361" i="2"/>
  <c r="M363" i="2"/>
  <c r="F105" i="12" s="1"/>
  <c r="M364" i="2"/>
  <c r="M365" i="2"/>
  <c r="M366" i="2"/>
  <c r="M368" i="2"/>
  <c r="M369" i="2"/>
  <c r="M370" i="2"/>
  <c r="M371" i="2"/>
  <c r="M372" i="2"/>
  <c r="M374" i="2"/>
  <c r="M375" i="2"/>
  <c r="M376" i="2"/>
  <c r="M377" i="2"/>
  <c r="M379" i="2"/>
  <c r="M380" i="2"/>
  <c r="M381" i="2"/>
  <c r="M382" i="2"/>
  <c r="M399" i="2"/>
  <c r="M400" i="2"/>
  <c r="M401" i="2"/>
  <c r="M402" i="2"/>
  <c r="M404" i="2"/>
  <c r="M405" i="2"/>
  <c r="M406" i="2"/>
  <c r="M407" i="2"/>
  <c r="M408" i="2"/>
  <c r="M409" i="2"/>
  <c r="M410" i="2"/>
  <c r="M422" i="2"/>
  <c r="M423" i="2"/>
  <c r="M426" i="2"/>
  <c r="M427" i="2"/>
  <c r="M429" i="2"/>
  <c r="F115" i="12" s="1"/>
  <c r="M431" i="2"/>
  <c r="M432" i="2"/>
  <c r="M433" i="2"/>
  <c r="M434" i="2"/>
  <c r="M435" i="2"/>
  <c r="M436" i="2"/>
  <c r="M438" i="2"/>
  <c r="M439" i="2"/>
  <c r="M441" i="2"/>
  <c r="M442" i="2"/>
  <c r="M443" i="2"/>
  <c r="M444" i="2"/>
  <c r="M445" i="2"/>
  <c r="M446" i="2"/>
  <c r="M447" i="2"/>
  <c r="M448" i="2"/>
  <c r="M449" i="2"/>
  <c r="M450" i="2"/>
  <c r="M457" i="2"/>
  <c r="M458" i="2"/>
  <c r="M459" i="2"/>
  <c r="M460" i="2"/>
  <c r="M462" i="2"/>
  <c r="M463" i="2"/>
  <c r="M464" i="2"/>
  <c r="M465" i="2"/>
  <c r="M467" i="2"/>
  <c r="M468" i="2"/>
  <c r="M469" i="2"/>
  <c r="M470" i="2"/>
  <c r="M472" i="2"/>
  <c r="M473" i="2"/>
  <c r="M474" i="2"/>
  <c r="M475" i="2"/>
  <c r="M477" i="2"/>
  <c r="M478" i="2"/>
  <c r="M479" i="2"/>
  <c r="M480" i="2"/>
  <c r="M482" i="2"/>
  <c r="M483" i="2"/>
  <c r="M484" i="2"/>
  <c r="M485" i="2"/>
  <c r="M487" i="2"/>
  <c r="M488" i="2"/>
  <c r="M489" i="2"/>
  <c r="M490" i="2"/>
  <c r="M492" i="2"/>
  <c r="M493" i="2"/>
  <c r="M494" i="2"/>
  <c r="M495" i="2"/>
  <c r="M497" i="2"/>
  <c r="M498" i="2"/>
  <c r="M499" i="2"/>
  <c r="M500" i="2"/>
  <c r="M502" i="2"/>
  <c r="M503" i="2"/>
  <c r="M504" i="2"/>
  <c r="M505" i="2"/>
  <c r="M507" i="2"/>
  <c r="M508" i="2"/>
  <c r="M509" i="2"/>
  <c r="M510" i="2"/>
  <c r="M512" i="2"/>
  <c r="M513" i="2"/>
  <c r="M514" i="2"/>
  <c r="M515" i="2"/>
  <c r="M517" i="2"/>
  <c r="M518" i="2"/>
  <c r="M519" i="2"/>
  <c r="M520" i="2"/>
  <c r="M522" i="2"/>
  <c r="M523" i="2"/>
  <c r="M524" i="2"/>
  <c r="M525" i="2"/>
  <c r="M527" i="2"/>
  <c r="M528" i="2"/>
  <c r="M529" i="2"/>
  <c r="M530" i="2"/>
  <c r="M552" i="2"/>
  <c r="F139" i="12" s="1"/>
  <c r="M553" i="2"/>
  <c r="M554" i="2"/>
  <c r="M555" i="2"/>
  <c r="M557" i="2"/>
  <c r="F140" i="12" s="1"/>
  <c r="M558" i="2"/>
  <c r="M559" i="2"/>
  <c r="M560" i="2"/>
  <c r="M562" i="2"/>
  <c r="F141" i="12" s="1"/>
  <c r="M563" i="2"/>
  <c r="M564" i="2"/>
  <c r="M565" i="2"/>
  <c r="M567" i="2"/>
  <c r="M568" i="2"/>
  <c r="M569" i="2"/>
  <c r="M570" i="2"/>
  <c r="G17" i="12"/>
  <c r="G18" i="12"/>
  <c r="M29" i="3"/>
  <c r="G19" i="12" s="1"/>
  <c r="M30" i="3"/>
  <c r="G20" i="12" s="1"/>
  <c r="M31" i="3"/>
  <c r="G21" i="12" s="1"/>
  <c r="M32" i="3"/>
  <c r="G22" i="12" s="1"/>
  <c r="M33" i="3"/>
  <c r="G23" i="12" s="1"/>
  <c r="M34" i="3"/>
  <c r="G24" i="12"/>
  <c r="M35" i="3"/>
  <c r="G25" i="12" s="1"/>
  <c r="M36" i="3"/>
  <c r="G26" i="12" s="1"/>
  <c r="M37" i="3"/>
  <c r="G27" i="12"/>
  <c r="M38" i="3"/>
  <c r="G28" i="12" s="1"/>
  <c r="M39" i="3"/>
  <c r="G29" i="12" s="1"/>
  <c r="M40" i="3"/>
  <c r="G30" i="12" s="1"/>
  <c r="M41" i="3"/>
  <c r="G31" i="12" s="1"/>
  <c r="M42" i="3"/>
  <c r="G32" i="12" s="1"/>
  <c r="M43" i="3"/>
  <c r="G33" i="12" s="1"/>
  <c r="M47" i="3"/>
  <c r="G35" i="12" s="1"/>
  <c r="M48" i="3"/>
  <c r="G36" i="12" s="1"/>
  <c r="M49" i="3"/>
  <c r="G37" i="12" s="1"/>
  <c r="M50" i="3"/>
  <c r="G38" i="12" s="1"/>
  <c r="M51" i="3"/>
  <c r="G39" i="12" s="1"/>
  <c r="M52" i="3"/>
  <c r="G40" i="12" s="1"/>
  <c r="M53" i="3"/>
  <c r="G41" i="12" s="1"/>
  <c r="M54" i="3"/>
  <c r="G42" i="12" s="1"/>
  <c r="M55" i="3"/>
  <c r="G43" i="12" s="1"/>
  <c r="M56" i="3"/>
  <c r="G44" i="12" s="1"/>
  <c r="M57" i="3"/>
  <c r="G45" i="12" s="1"/>
  <c r="M58" i="3"/>
  <c r="G46" i="12" s="1"/>
  <c r="M59" i="3"/>
  <c r="G47" i="12"/>
  <c r="M60" i="3"/>
  <c r="G48" i="12" s="1"/>
  <c r="M61" i="3"/>
  <c r="G49" i="12" s="1"/>
  <c r="N10" i="2"/>
  <c r="N11" i="2"/>
  <c r="N12" i="2"/>
  <c r="N13" i="2"/>
  <c r="N14" i="2"/>
  <c r="N15" i="2"/>
  <c r="N16" i="2"/>
  <c r="N17" i="2"/>
  <c r="N19" i="2"/>
  <c r="N20" i="2"/>
  <c r="N21" i="2"/>
  <c r="N22" i="2"/>
  <c r="N23" i="2"/>
  <c r="N24" i="2"/>
  <c r="N26" i="2"/>
  <c r="N27" i="2"/>
  <c r="N28" i="2"/>
  <c r="N29" i="2"/>
  <c r="N30" i="2"/>
  <c r="N31" i="2"/>
  <c r="N32" i="2"/>
  <c r="N33" i="2"/>
  <c r="N34" i="2"/>
  <c r="N36" i="2"/>
  <c r="N37" i="2"/>
  <c r="N38" i="2"/>
  <c r="N39" i="2"/>
  <c r="N40"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7" i="2"/>
  <c r="N78" i="2"/>
  <c r="N79" i="2"/>
  <c r="N80" i="2"/>
  <c r="N81" i="2"/>
  <c r="N83" i="2"/>
  <c r="N84" i="2"/>
  <c r="N85" i="2"/>
  <c r="N86" i="2"/>
  <c r="N87" i="2"/>
  <c r="N88" i="2"/>
  <c r="N89" i="2"/>
  <c r="N90" i="2"/>
  <c r="N91" i="2"/>
  <c r="N92" i="2"/>
  <c r="N93" i="2"/>
  <c r="N94" i="2"/>
  <c r="N96" i="2"/>
  <c r="N97" i="2"/>
  <c r="N98" i="2"/>
  <c r="N99" i="2"/>
  <c r="N100" i="2"/>
  <c r="N101" i="2"/>
  <c r="N102" i="2"/>
  <c r="N103" i="2"/>
  <c r="N104" i="2"/>
  <c r="N106" i="2"/>
  <c r="N107" i="2"/>
  <c r="N108" i="2"/>
  <c r="N109" i="2"/>
  <c r="N110" i="2"/>
  <c r="N112" i="2"/>
  <c r="N113" i="2"/>
  <c r="N114" i="2"/>
  <c r="N115" i="2"/>
  <c r="N116" i="2"/>
  <c r="N117" i="2"/>
  <c r="N118" i="2"/>
  <c r="N119" i="2"/>
  <c r="N121" i="2"/>
  <c r="N122" i="2"/>
  <c r="N123" i="2"/>
  <c r="N124" i="2"/>
  <c r="N126" i="2"/>
  <c r="N127" i="2"/>
  <c r="N128" i="2"/>
  <c r="N129" i="2"/>
  <c r="N130" i="2"/>
  <c r="N131" i="2"/>
  <c r="N132" i="2"/>
  <c r="N133" i="2"/>
  <c r="N134" i="2"/>
  <c r="N135" i="2"/>
  <c r="N136" i="2"/>
  <c r="N137" i="2"/>
  <c r="N138" i="2"/>
  <c r="N140" i="2"/>
  <c r="N141" i="2"/>
  <c r="N142" i="2"/>
  <c r="N143" i="2"/>
  <c r="N145" i="2"/>
  <c r="N146" i="2"/>
  <c r="N147" i="2"/>
  <c r="N148" i="2"/>
  <c r="N150" i="2"/>
  <c r="N151" i="2"/>
  <c r="N152" i="2"/>
  <c r="N153" i="2"/>
  <c r="N155" i="2"/>
  <c r="N156" i="2"/>
  <c r="N157" i="2"/>
  <c r="N158" i="2"/>
  <c r="N160" i="2"/>
  <c r="N161" i="2"/>
  <c r="N162" i="2"/>
  <c r="N163" i="2"/>
  <c r="N165" i="2"/>
  <c r="N166" i="2"/>
  <c r="N167" i="2"/>
  <c r="N168" i="2"/>
  <c r="N170" i="2"/>
  <c r="N171" i="2"/>
  <c r="N172" i="2"/>
  <c r="N173" i="2"/>
  <c r="N175" i="2"/>
  <c r="N176" i="2"/>
  <c r="N177" i="2"/>
  <c r="N178" i="2"/>
  <c r="N180" i="2"/>
  <c r="N181" i="2"/>
  <c r="N182" i="2"/>
  <c r="N183" i="2"/>
  <c r="N184" i="2"/>
  <c r="N186" i="2"/>
  <c r="N187" i="2"/>
  <c r="N188" i="2"/>
  <c r="N189" i="2"/>
  <c r="N190" i="2"/>
  <c r="N191" i="2"/>
  <c r="N192" i="2"/>
  <c r="N193" i="2"/>
  <c r="N194" i="2"/>
  <c r="N195" i="2"/>
  <c r="N196" i="2"/>
  <c r="N197" i="2"/>
  <c r="N205" i="2"/>
  <c r="N206" i="2"/>
  <c r="N207" i="2"/>
  <c r="N208" i="2"/>
  <c r="N209" i="2"/>
  <c r="N210" i="2"/>
  <c r="N212" i="2"/>
  <c r="N213" i="2"/>
  <c r="N214" i="2"/>
  <c r="N215" i="2"/>
  <c r="N216" i="2"/>
  <c r="N217" i="2"/>
  <c r="N218" i="2"/>
  <c r="N219" i="2"/>
  <c r="N220" i="2"/>
  <c r="N221" i="2"/>
  <c r="N222" i="2"/>
  <c r="N224" i="2"/>
  <c r="N225" i="2"/>
  <c r="N226" i="2"/>
  <c r="N227" i="2"/>
  <c r="N229" i="2"/>
  <c r="G81" i="12" s="1"/>
  <c r="N230" i="2"/>
  <c r="N231" i="2"/>
  <c r="N233" i="2"/>
  <c r="N234" i="2"/>
  <c r="N236" i="2"/>
  <c r="N237" i="2"/>
  <c r="N239" i="2"/>
  <c r="N240" i="2"/>
  <c r="N241" i="2"/>
  <c r="N242" i="2"/>
  <c r="N244" i="2"/>
  <c r="N245" i="2"/>
  <c r="N246" i="2"/>
  <c r="N247" i="2"/>
  <c r="N249" i="2"/>
  <c r="N250" i="2"/>
  <c r="N251" i="2"/>
  <c r="N252" i="2"/>
  <c r="N254" i="2"/>
  <c r="N255" i="2"/>
  <c r="N256" i="2"/>
  <c r="N257" i="2"/>
  <c r="N259" i="2"/>
  <c r="N260" i="2"/>
  <c r="N261" i="2"/>
  <c r="N262" i="2"/>
  <c r="N264" i="2"/>
  <c r="N265" i="2"/>
  <c r="N266" i="2"/>
  <c r="N267" i="2"/>
  <c r="N269" i="2"/>
  <c r="N270" i="2"/>
  <c r="G90" i="12" s="1"/>
  <c r="N271" i="2"/>
  <c r="N272" i="2"/>
  <c r="N273" i="2"/>
  <c r="N274" i="2"/>
  <c r="N275" i="2"/>
  <c r="N276" i="2"/>
  <c r="N277" i="2"/>
  <c r="N278" i="2"/>
  <c r="N280" i="2"/>
  <c r="N281" i="2"/>
  <c r="N282" i="2"/>
  <c r="N283" i="2"/>
  <c r="N285" i="2"/>
  <c r="N286" i="2"/>
  <c r="N287" i="2"/>
  <c r="N288" i="2"/>
  <c r="N290" i="2"/>
  <c r="N291" i="2"/>
  <c r="N292" i="2"/>
  <c r="N293" i="2"/>
  <c r="N295" i="2"/>
  <c r="N296" i="2"/>
  <c r="G94" i="12" s="1"/>
  <c r="N297" i="2"/>
  <c r="N298" i="2"/>
  <c r="N300" i="2"/>
  <c r="N301" i="2"/>
  <c r="N302" i="2"/>
  <c r="N303" i="2"/>
  <c r="N305" i="2"/>
  <c r="N306" i="2"/>
  <c r="N307" i="2"/>
  <c r="N308" i="2"/>
  <c r="N325" i="2"/>
  <c r="N326" i="2"/>
  <c r="N327" i="2"/>
  <c r="N328" i="2"/>
  <c r="N330" i="2"/>
  <c r="N331" i="2"/>
  <c r="N332" i="2"/>
  <c r="N333" i="2"/>
  <c r="N335" i="2"/>
  <c r="N336" i="2"/>
  <c r="N337" i="2"/>
  <c r="N338" i="2"/>
  <c r="N340" i="2"/>
  <c r="N341" i="2"/>
  <c r="N342" i="2"/>
  <c r="N343" i="2"/>
  <c r="N345" i="2"/>
  <c r="N346" i="2"/>
  <c r="N347" i="2"/>
  <c r="N348" i="2"/>
  <c r="N349" i="2"/>
  <c r="N350" i="2"/>
  <c r="N351" i="2"/>
  <c r="N352" i="2"/>
  <c r="N353" i="2"/>
  <c r="N354" i="2"/>
  <c r="N355" i="2"/>
  <c r="N356" i="2"/>
  <c r="N357" i="2"/>
  <c r="N358" i="2"/>
  <c r="N359" i="2"/>
  <c r="N360" i="2"/>
  <c r="N361" i="2"/>
  <c r="N363" i="2"/>
  <c r="N364" i="2"/>
  <c r="N365" i="2"/>
  <c r="N366" i="2"/>
  <c r="N368" i="2"/>
  <c r="N369" i="2"/>
  <c r="N370" i="2"/>
  <c r="N371" i="2"/>
  <c r="N372" i="2"/>
  <c r="N374" i="2"/>
  <c r="N375" i="2"/>
  <c r="N376" i="2"/>
  <c r="N377" i="2"/>
  <c r="N379" i="2"/>
  <c r="N380" i="2"/>
  <c r="N381" i="2"/>
  <c r="N382" i="2"/>
  <c r="N399" i="2"/>
  <c r="N400" i="2"/>
  <c r="N401" i="2"/>
  <c r="N402" i="2"/>
  <c r="N404" i="2"/>
  <c r="N405" i="2"/>
  <c r="N406" i="2"/>
  <c r="N407" i="2"/>
  <c r="N408" i="2"/>
  <c r="N409" i="2"/>
  <c r="N410" i="2"/>
  <c r="N422" i="2"/>
  <c r="N423" i="2"/>
  <c r="N425" i="2"/>
  <c r="N426" i="2"/>
  <c r="N427" i="2"/>
  <c r="N429" i="2"/>
  <c r="G115" i="12" s="1"/>
  <c r="N431" i="2"/>
  <c r="N432" i="2"/>
  <c r="N433" i="2"/>
  <c r="N434" i="2"/>
  <c r="N435" i="2"/>
  <c r="N436" i="2"/>
  <c r="N438" i="2"/>
  <c r="N439" i="2"/>
  <c r="N441" i="2"/>
  <c r="N442" i="2"/>
  <c r="N443" i="2"/>
  <c r="N444" i="2"/>
  <c r="N445" i="2"/>
  <c r="N446" i="2"/>
  <c r="N447" i="2"/>
  <c r="N448" i="2"/>
  <c r="N449" i="2"/>
  <c r="N450" i="2"/>
  <c r="N457" i="2"/>
  <c r="N458" i="2"/>
  <c r="N459" i="2"/>
  <c r="N460" i="2"/>
  <c r="N462" i="2"/>
  <c r="N463" i="2"/>
  <c r="N464" i="2"/>
  <c r="N465" i="2"/>
  <c r="N467" i="2"/>
  <c r="N468" i="2"/>
  <c r="N469" i="2"/>
  <c r="N470" i="2"/>
  <c r="N472" i="2"/>
  <c r="N473" i="2"/>
  <c r="N474" i="2"/>
  <c r="N475" i="2"/>
  <c r="N477" i="2"/>
  <c r="N478" i="2"/>
  <c r="N479" i="2"/>
  <c r="N480" i="2"/>
  <c r="N482" i="2"/>
  <c r="N483" i="2"/>
  <c r="N484" i="2"/>
  <c r="N485" i="2"/>
  <c r="N487" i="2"/>
  <c r="N488" i="2"/>
  <c r="N489" i="2"/>
  <c r="N490" i="2"/>
  <c r="N492" i="2"/>
  <c r="N493" i="2"/>
  <c r="N494" i="2"/>
  <c r="N495" i="2"/>
  <c r="N497" i="2"/>
  <c r="N498" i="2"/>
  <c r="N499" i="2"/>
  <c r="N500" i="2"/>
  <c r="N502" i="2"/>
  <c r="N503" i="2"/>
  <c r="N504" i="2"/>
  <c r="N505" i="2"/>
  <c r="N507" i="2"/>
  <c r="N508" i="2"/>
  <c r="N509" i="2"/>
  <c r="N510" i="2"/>
  <c r="N512" i="2"/>
  <c r="N513" i="2"/>
  <c r="N514" i="2"/>
  <c r="N515" i="2"/>
  <c r="N517" i="2"/>
  <c r="N518" i="2"/>
  <c r="N519" i="2"/>
  <c r="N520" i="2"/>
  <c r="N522" i="2"/>
  <c r="N523" i="2"/>
  <c r="N524" i="2"/>
  <c r="N525" i="2"/>
  <c r="N527" i="2"/>
  <c r="N528" i="2"/>
  <c r="N529" i="2"/>
  <c r="N530" i="2"/>
  <c r="N552" i="2"/>
  <c r="G139" i="12" s="1"/>
  <c r="N553" i="2"/>
  <c r="N554" i="2"/>
  <c r="N555" i="2"/>
  <c r="N557" i="2"/>
  <c r="G140" i="12" s="1"/>
  <c r="N558" i="2"/>
  <c r="N559" i="2"/>
  <c r="N560" i="2"/>
  <c r="N562" i="2"/>
  <c r="G141" i="12" s="1"/>
  <c r="N563" i="2"/>
  <c r="N564" i="2"/>
  <c r="N565" i="2"/>
  <c r="N567" i="2"/>
  <c r="N568" i="2"/>
  <c r="N569" i="2"/>
  <c r="N570" i="2"/>
  <c r="H17" i="12"/>
  <c r="H18" i="12"/>
  <c r="N29" i="3"/>
  <c r="H19" i="12" s="1"/>
  <c r="N30" i="3"/>
  <c r="H20" i="12" s="1"/>
  <c r="N31" i="3"/>
  <c r="H21" i="12" s="1"/>
  <c r="N32" i="3"/>
  <c r="H22" i="12" s="1"/>
  <c r="N33" i="3"/>
  <c r="H23" i="12"/>
  <c r="N34" i="3"/>
  <c r="H24" i="12" s="1"/>
  <c r="N35" i="3"/>
  <c r="H25" i="12" s="1"/>
  <c r="N36" i="3"/>
  <c r="H26" i="12" s="1"/>
  <c r="N37" i="3"/>
  <c r="H27" i="12" s="1"/>
  <c r="N38" i="3"/>
  <c r="H28" i="12" s="1"/>
  <c r="N39" i="3"/>
  <c r="N40" i="3"/>
  <c r="H30" i="12" s="1"/>
  <c r="N41" i="3"/>
  <c r="H31" i="12" s="1"/>
  <c r="N42" i="3"/>
  <c r="H32" i="12" s="1"/>
  <c r="N43" i="3"/>
  <c r="H33" i="12" s="1"/>
  <c r="N47" i="3"/>
  <c r="H35" i="12" s="1"/>
  <c r="N48" i="3"/>
  <c r="H36" i="12" s="1"/>
  <c r="N49" i="3"/>
  <c r="H37" i="12" s="1"/>
  <c r="N50" i="3"/>
  <c r="H38" i="12" s="1"/>
  <c r="N51" i="3"/>
  <c r="H39" i="12" s="1"/>
  <c r="N52" i="3"/>
  <c r="H40" i="12" s="1"/>
  <c r="N53" i="3"/>
  <c r="H41" i="12" s="1"/>
  <c r="N54" i="3"/>
  <c r="H42" i="12"/>
  <c r="N55" i="3"/>
  <c r="H43" i="12" s="1"/>
  <c r="N56" i="3"/>
  <c r="H44" i="12" s="1"/>
  <c r="N57" i="3"/>
  <c r="H45" i="12" s="1"/>
  <c r="N58" i="3"/>
  <c r="H46" i="12" s="1"/>
  <c r="N59" i="3"/>
  <c r="H47" i="12" s="1"/>
  <c r="N60" i="3"/>
  <c r="H48" i="12" s="1"/>
  <c r="N61" i="3"/>
  <c r="H49" i="12" s="1"/>
  <c r="O10" i="2"/>
  <c r="O11" i="2"/>
  <c r="O12" i="2"/>
  <c r="O13" i="2"/>
  <c r="O14" i="2"/>
  <c r="O15" i="2"/>
  <c r="O16" i="2"/>
  <c r="O17" i="2"/>
  <c r="O19" i="2"/>
  <c r="O20" i="2"/>
  <c r="O21" i="2"/>
  <c r="O22" i="2"/>
  <c r="O23" i="2"/>
  <c r="O24" i="2"/>
  <c r="O26" i="2"/>
  <c r="O27" i="2"/>
  <c r="O28" i="2"/>
  <c r="O29" i="2"/>
  <c r="O30" i="2"/>
  <c r="O31" i="2"/>
  <c r="O32" i="2"/>
  <c r="O33" i="2"/>
  <c r="O34" i="2"/>
  <c r="O36" i="2"/>
  <c r="O37" i="2"/>
  <c r="O38" i="2"/>
  <c r="O39" i="2"/>
  <c r="O40"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7" i="2"/>
  <c r="O78" i="2"/>
  <c r="O79" i="2"/>
  <c r="O80" i="2"/>
  <c r="O81" i="2"/>
  <c r="O83" i="2"/>
  <c r="O84" i="2"/>
  <c r="O85" i="2"/>
  <c r="O86" i="2"/>
  <c r="O87" i="2"/>
  <c r="O88" i="2"/>
  <c r="O89" i="2"/>
  <c r="O90" i="2"/>
  <c r="O91" i="2"/>
  <c r="O92" i="2"/>
  <c r="O93" i="2"/>
  <c r="O94" i="2"/>
  <c r="O96" i="2"/>
  <c r="O97" i="2"/>
  <c r="O98" i="2"/>
  <c r="O99" i="2"/>
  <c r="O100" i="2"/>
  <c r="O101" i="2"/>
  <c r="O102" i="2"/>
  <c r="O103" i="2"/>
  <c r="O104" i="2"/>
  <c r="O106" i="2"/>
  <c r="O107" i="2"/>
  <c r="O108" i="2"/>
  <c r="O109" i="2"/>
  <c r="O110" i="2"/>
  <c r="O112" i="2"/>
  <c r="O113" i="2"/>
  <c r="O114" i="2"/>
  <c r="O115" i="2"/>
  <c r="O116" i="2"/>
  <c r="O117" i="2"/>
  <c r="O118" i="2"/>
  <c r="O119" i="2"/>
  <c r="O121" i="2"/>
  <c r="O122" i="2"/>
  <c r="O123" i="2"/>
  <c r="O124" i="2"/>
  <c r="O126" i="2"/>
  <c r="O127" i="2"/>
  <c r="O128" i="2"/>
  <c r="O129" i="2"/>
  <c r="O130" i="2"/>
  <c r="O131" i="2"/>
  <c r="O132" i="2"/>
  <c r="O133" i="2"/>
  <c r="O134" i="2"/>
  <c r="O135" i="2"/>
  <c r="O136" i="2"/>
  <c r="O137" i="2"/>
  <c r="O138" i="2"/>
  <c r="O140" i="2"/>
  <c r="O141" i="2"/>
  <c r="O142" i="2"/>
  <c r="O143" i="2"/>
  <c r="O145" i="2"/>
  <c r="O146" i="2"/>
  <c r="O147" i="2"/>
  <c r="O148" i="2"/>
  <c r="O150" i="2"/>
  <c r="O151" i="2"/>
  <c r="O152" i="2"/>
  <c r="O153" i="2"/>
  <c r="O155" i="2"/>
  <c r="O156" i="2"/>
  <c r="O157" i="2"/>
  <c r="O158" i="2"/>
  <c r="O160" i="2"/>
  <c r="O161" i="2"/>
  <c r="O162" i="2"/>
  <c r="O163" i="2"/>
  <c r="O165" i="2"/>
  <c r="O166" i="2"/>
  <c r="O167" i="2"/>
  <c r="O168" i="2"/>
  <c r="O170" i="2"/>
  <c r="O171" i="2"/>
  <c r="O172" i="2"/>
  <c r="O173" i="2"/>
  <c r="O175" i="2"/>
  <c r="O176" i="2"/>
  <c r="O177" i="2"/>
  <c r="O178" i="2"/>
  <c r="O180" i="2"/>
  <c r="O181" i="2"/>
  <c r="O182" i="2"/>
  <c r="O183" i="2"/>
  <c r="O184" i="2"/>
  <c r="O186" i="2"/>
  <c r="O187" i="2"/>
  <c r="O188" i="2"/>
  <c r="O189" i="2"/>
  <c r="O190" i="2"/>
  <c r="O191" i="2"/>
  <c r="O192" i="2"/>
  <c r="O193" i="2"/>
  <c r="O194" i="2"/>
  <c r="O195" i="2"/>
  <c r="O196" i="2"/>
  <c r="O197" i="2"/>
  <c r="O205" i="2"/>
  <c r="O206" i="2"/>
  <c r="O207" i="2"/>
  <c r="O208" i="2"/>
  <c r="O209" i="2"/>
  <c r="O210" i="2"/>
  <c r="O212" i="2"/>
  <c r="O213" i="2"/>
  <c r="O214" i="2"/>
  <c r="O215" i="2"/>
  <c r="O216" i="2"/>
  <c r="O217" i="2"/>
  <c r="O218" i="2"/>
  <c r="O219" i="2"/>
  <c r="O220" i="2"/>
  <c r="O221" i="2"/>
  <c r="O222" i="2"/>
  <c r="O224" i="2"/>
  <c r="O225" i="2"/>
  <c r="O226" i="2"/>
  <c r="O227" i="2"/>
  <c r="O229" i="2"/>
  <c r="O230" i="2"/>
  <c r="O231" i="2"/>
  <c r="O233" i="2"/>
  <c r="O234" i="2"/>
  <c r="O236" i="2"/>
  <c r="O237" i="2"/>
  <c r="O239" i="2"/>
  <c r="O240" i="2"/>
  <c r="O241" i="2"/>
  <c r="O242" i="2"/>
  <c r="O244" i="2"/>
  <c r="O245" i="2"/>
  <c r="O246" i="2"/>
  <c r="O247" i="2"/>
  <c r="O249" i="2"/>
  <c r="O250" i="2"/>
  <c r="O251" i="2"/>
  <c r="O252" i="2"/>
  <c r="O254" i="2"/>
  <c r="O255" i="2"/>
  <c r="O256" i="2"/>
  <c r="O257" i="2"/>
  <c r="O259" i="2"/>
  <c r="O260" i="2"/>
  <c r="O261" i="2"/>
  <c r="O262" i="2"/>
  <c r="O264" i="2"/>
  <c r="O265" i="2"/>
  <c r="O266" i="2"/>
  <c r="O267" i="2"/>
  <c r="O269" i="2"/>
  <c r="O270" i="2"/>
  <c r="O271" i="2"/>
  <c r="O272" i="2"/>
  <c r="O273" i="2"/>
  <c r="O274" i="2"/>
  <c r="O275" i="2"/>
  <c r="O276" i="2"/>
  <c r="O277" i="2"/>
  <c r="O278" i="2"/>
  <c r="O280" i="2"/>
  <c r="O281" i="2"/>
  <c r="O282" i="2"/>
  <c r="O283" i="2"/>
  <c r="O285" i="2"/>
  <c r="O286" i="2"/>
  <c r="O287" i="2"/>
  <c r="O288" i="2"/>
  <c r="O290" i="2"/>
  <c r="O291" i="2"/>
  <c r="O292" i="2"/>
  <c r="O293" i="2"/>
  <c r="O295" i="2"/>
  <c r="O296" i="2"/>
  <c r="O297" i="2"/>
  <c r="O298" i="2"/>
  <c r="O300" i="2"/>
  <c r="O301" i="2"/>
  <c r="O302" i="2"/>
  <c r="O303" i="2"/>
  <c r="O305" i="2"/>
  <c r="O306" i="2"/>
  <c r="O307" i="2"/>
  <c r="O308" i="2"/>
  <c r="O325" i="2"/>
  <c r="O326" i="2"/>
  <c r="O327" i="2"/>
  <c r="O328" i="2"/>
  <c r="O330" i="2"/>
  <c r="O331" i="2"/>
  <c r="O332" i="2"/>
  <c r="O333" i="2"/>
  <c r="O335" i="2"/>
  <c r="O336" i="2"/>
  <c r="O337" i="2"/>
  <c r="O338" i="2"/>
  <c r="O340" i="2"/>
  <c r="O341" i="2"/>
  <c r="O342" i="2"/>
  <c r="O343" i="2"/>
  <c r="O345" i="2"/>
  <c r="O346" i="2"/>
  <c r="O347" i="2"/>
  <c r="O348" i="2"/>
  <c r="O349" i="2"/>
  <c r="O350" i="2"/>
  <c r="O351" i="2"/>
  <c r="O352" i="2"/>
  <c r="O353" i="2"/>
  <c r="O354" i="2"/>
  <c r="O355" i="2"/>
  <c r="O356" i="2"/>
  <c r="O357" i="2"/>
  <c r="O358" i="2"/>
  <c r="O359" i="2"/>
  <c r="O360" i="2"/>
  <c r="O361" i="2"/>
  <c r="O363" i="2"/>
  <c r="O364" i="2"/>
  <c r="O365" i="2"/>
  <c r="O366" i="2"/>
  <c r="O368" i="2"/>
  <c r="O369" i="2"/>
  <c r="O370" i="2"/>
  <c r="O371" i="2"/>
  <c r="O372" i="2"/>
  <c r="O374" i="2"/>
  <c r="O375" i="2"/>
  <c r="O376" i="2"/>
  <c r="O377" i="2"/>
  <c r="O379" i="2"/>
  <c r="O380" i="2"/>
  <c r="O381" i="2"/>
  <c r="O382" i="2"/>
  <c r="O399" i="2"/>
  <c r="O400" i="2"/>
  <c r="O401" i="2"/>
  <c r="O402" i="2"/>
  <c r="O404" i="2"/>
  <c r="O405" i="2"/>
  <c r="O406" i="2"/>
  <c r="O407" i="2"/>
  <c r="O408" i="2"/>
  <c r="O409" i="2"/>
  <c r="O410" i="2"/>
  <c r="O422" i="2"/>
  <c r="O423" i="2"/>
  <c r="O425" i="2"/>
  <c r="O426" i="2"/>
  <c r="O427" i="2"/>
  <c r="O429" i="2"/>
  <c r="H115" i="12" s="1"/>
  <c r="O431" i="2"/>
  <c r="O432" i="2"/>
  <c r="O433" i="2"/>
  <c r="O434" i="2"/>
  <c r="O435" i="2"/>
  <c r="O436" i="2"/>
  <c r="O438" i="2"/>
  <c r="O439" i="2"/>
  <c r="O441" i="2"/>
  <c r="O442" i="2"/>
  <c r="O443" i="2"/>
  <c r="O444" i="2"/>
  <c r="O445" i="2"/>
  <c r="O446" i="2"/>
  <c r="O447" i="2"/>
  <c r="O448" i="2"/>
  <c r="O449" i="2"/>
  <c r="O450" i="2"/>
  <c r="O457" i="2"/>
  <c r="O458" i="2"/>
  <c r="O459" i="2"/>
  <c r="O460" i="2"/>
  <c r="O462" i="2"/>
  <c r="O463" i="2"/>
  <c r="O464" i="2"/>
  <c r="O465" i="2"/>
  <c r="O467" i="2"/>
  <c r="O468" i="2"/>
  <c r="O469" i="2"/>
  <c r="O470" i="2"/>
  <c r="O472" i="2"/>
  <c r="O473" i="2"/>
  <c r="O474" i="2"/>
  <c r="O475" i="2"/>
  <c r="O477" i="2"/>
  <c r="O478" i="2"/>
  <c r="O479" i="2"/>
  <c r="O480" i="2"/>
  <c r="O482" i="2"/>
  <c r="O483" i="2"/>
  <c r="O484" i="2"/>
  <c r="O485" i="2"/>
  <c r="O487" i="2"/>
  <c r="O488" i="2"/>
  <c r="O489" i="2"/>
  <c r="O490" i="2"/>
  <c r="O492" i="2"/>
  <c r="O493" i="2"/>
  <c r="O494" i="2"/>
  <c r="O495" i="2"/>
  <c r="O497" i="2"/>
  <c r="O498" i="2"/>
  <c r="O499" i="2"/>
  <c r="O500" i="2"/>
  <c r="O502" i="2"/>
  <c r="O503" i="2"/>
  <c r="O504" i="2"/>
  <c r="O505" i="2"/>
  <c r="O507" i="2"/>
  <c r="O508" i="2"/>
  <c r="O509" i="2"/>
  <c r="O510" i="2"/>
  <c r="O512" i="2"/>
  <c r="O513" i="2"/>
  <c r="O514" i="2"/>
  <c r="O515" i="2"/>
  <c r="O517" i="2"/>
  <c r="O518" i="2"/>
  <c r="O519" i="2"/>
  <c r="O520" i="2"/>
  <c r="O522" i="2"/>
  <c r="O523" i="2"/>
  <c r="O524" i="2"/>
  <c r="O525" i="2"/>
  <c r="O527" i="2"/>
  <c r="O528" i="2"/>
  <c r="O529" i="2"/>
  <c r="O530" i="2"/>
  <c r="O552" i="2"/>
  <c r="O553" i="2"/>
  <c r="O554" i="2"/>
  <c r="O555" i="2"/>
  <c r="O557" i="2"/>
  <c r="O558" i="2"/>
  <c r="O559" i="2"/>
  <c r="O560" i="2"/>
  <c r="O562" i="2"/>
  <c r="O563" i="2"/>
  <c r="O564" i="2"/>
  <c r="O565" i="2"/>
  <c r="O567" i="2"/>
  <c r="O568" i="2"/>
  <c r="O569" i="2"/>
  <c r="O570" i="2"/>
  <c r="I19" i="12"/>
  <c r="I20" i="12"/>
  <c r="O31" i="3"/>
  <c r="I21" i="12" s="1"/>
  <c r="O32" i="3"/>
  <c r="I22" i="12" s="1"/>
  <c r="O33" i="3"/>
  <c r="I23" i="12" s="1"/>
  <c r="O34" i="3"/>
  <c r="O35" i="3"/>
  <c r="I25" i="12" s="1"/>
  <c r="O36" i="3"/>
  <c r="I26" i="12" s="1"/>
  <c r="O37" i="3"/>
  <c r="I27" i="12"/>
  <c r="O38" i="3"/>
  <c r="I28" i="12" s="1"/>
  <c r="O39" i="3"/>
  <c r="I29" i="12" s="1"/>
  <c r="O40" i="3"/>
  <c r="I30" i="12" s="1"/>
  <c r="O41" i="3"/>
  <c r="I31" i="12" s="1"/>
  <c r="O42" i="3"/>
  <c r="O43" i="3"/>
  <c r="I33" i="12" s="1"/>
  <c r="O47" i="3"/>
  <c r="I35" i="12" s="1"/>
  <c r="O48" i="3"/>
  <c r="I36" i="12" s="1"/>
  <c r="O49" i="3"/>
  <c r="I37" i="12" s="1"/>
  <c r="O50" i="3"/>
  <c r="I38" i="12" s="1"/>
  <c r="O51" i="3"/>
  <c r="I39" i="12" s="1"/>
  <c r="O52" i="3"/>
  <c r="I40" i="12" s="1"/>
  <c r="O53" i="3"/>
  <c r="I41" i="12" s="1"/>
  <c r="O54" i="3"/>
  <c r="I42" i="12" s="1"/>
  <c r="O55" i="3"/>
  <c r="I43" i="12" s="1"/>
  <c r="O56" i="3"/>
  <c r="I44" i="12" s="1"/>
  <c r="O57" i="3"/>
  <c r="I45" i="12"/>
  <c r="O58" i="3"/>
  <c r="I46" i="12" s="1"/>
  <c r="O59" i="3"/>
  <c r="I47" i="12"/>
  <c r="O60" i="3"/>
  <c r="I48" i="12" s="1"/>
  <c r="O61" i="3"/>
  <c r="I49" i="12"/>
  <c r="P10" i="2"/>
  <c r="P11" i="2"/>
  <c r="P12" i="2"/>
  <c r="P13" i="2"/>
  <c r="P14" i="2"/>
  <c r="P15" i="2"/>
  <c r="P16" i="2"/>
  <c r="P17" i="2"/>
  <c r="P19" i="2"/>
  <c r="P20" i="2"/>
  <c r="P21" i="2"/>
  <c r="P22" i="2"/>
  <c r="P23" i="2"/>
  <c r="P24" i="2"/>
  <c r="P26" i="2"/>
  <c r="P27" i="2"/>
  <c r="P28" i="2"/>
  <c r="P29" i="2"/>
  <c r="P30" i="2"/>
  <c r="P31" i="2"/>
  <c r="P32" i="2"/>
  <c r="P33" i="2"/>
  <c r="P34" i="2"/>
  <c r="P36" i="2"/>
  <c r="P37" i="2"/>
  <c r="P38" i="2"/>
  <c r="P39" i="2"/>
  <c r="P40"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7" i="2"/>
  <c r="P78" i="2"/>
  <c r="P79" i="2"/>
  <c r="P80" i="2"/>
  <c r="P81" i="2"/>
  <c r="P83" i="2"/>
  <c r="P84" i="2"/>
  <c r="P85" i="2"/>
  <c r="P86" i="2"/>
  <c r="P87" i="2"/>
  <c r="P88" i="2"/>
  <c r="P89" i="2"/>
  <c r="P90" i="2"/>
  <c r="P91" i="2"/>
  <c r="P92" i="2"/>
  <c r="P93" i="2"/>
  <c r="P94" i="2"/>
  <c r="P96" i="2"/>
  <c r="P97" i="2"/>
  <c r="P98" i="2"/>
  <c r="P99" i="2"/>
  <c r="P100" i="2"/>
  <c r="P101" i="2"/>
  <c r="P102" i="2"/>
  <c r="P103" i="2"/>
  <c r="P104" i="2"/>
  <c r="P106" i="2"/>
  <c r="P107" i="2"/>
  <c r="P108" i="2"/>
  <c r="P109" i="2"/>
  <c r="P110" i="2"/>
  <c r="P112" i="2"/>
  <c r="P113" i="2"/>
  <c r="P114" i="2"/>
  <c r="P115" i="2"/>
  <c r="P116" i="2"/>
  <c r="P117" i="2"/>
  <c r="P118" i="2"/>
  <c r="P119" i="2"/>
  <c r="P121" i="2"/>
  <c r="P122" i="2"/>
  <c r="P123" i="2"/>
  <c r="P124" i="2"/>
  <c r="P126" i="2"/>
  <c r="P127" i="2"/>
  <c r="P128" i="2"/>
  <c r="P129" i="2"/>
  <c r="P130" i="2"/>
  <c r="P131" i="2"/>
  <c r="P132" i="2"/>
  <c r="P133" i="2"/>
  <c r="P134" i="2"/>
  <c r="P135" i="2"/>
  <c r="P136" i="2"/>
  <c r="P137" i="2"/>
  <c r="P138" i="2"/>
  <c r="P140" i="2"/>
  <c r="P141" i="2"/>
  <c r="P142" i="2"/>
  <c r="P143" i="2"/>
  <c r="P145" i="2"/>
  <c r="P146" i="2"/>
  <c r="P147" i="2"/>
  <c r="P148" i="2"/>
  <c r="P150" i="2"/>
  <c r="P151" i="2"/>
  <c r="P152" i="2"/>
  <c r="P153" i="2"/>
  <c r="P155" i="2"/>
  <c r="P156" i="2"/>
  <c r="P157" i="2"/>
  <c r="P158" i="2"/>
  <c r="P160" i="2"/>
  <c r="P161" i="2"/>
  <c r="P162" i="2"/>
  <c r="P163" i="2"/>
  <c r="P165" i="2"/>
  <c r="P166" i="2"/>
  <c r="P167" i="2"/>
  <c r="P168" i="2"/>
  <c r="P170" i="2"/>
  <c r="P171" i="2"/>
  <c r="P172" i="2"/>
  <c r="P173" i="2"/>
  <c r="P175" i="2"/>
  <c r="P176" i="2"/>
  <c r="P177" i="2"/>
  <c r="P178" i="2"/>
  <c r="P180" i="2"/>
  <c r="P181" i="2"/>
  <c r="P182" i="2"/>
  <c r="P183" i="2"/>
  <c r="P184" i="2"/>
  <c r="P186" i="2"/>
  <c r="P187" i="2"/>
  <c r="P188" i="2"/>
  <c r="P189" i="2"/>
  <c r="P190" i="2"/>
  <c r="P191" i="2"/>
  <c r="P192" i="2"/>
  <c r="P193" i="2"/>
  <c r="P194" i="2"/>
  <c r="P195" i="2"/>
  <c r="P196" i="2"/>
  <c r="P197" i="2"/>
  <c r="P205" i="2"/>
  <c r="P206" i="2"/>
  <c r="P207" i="2"/>
  <c r="P208" i="2"/>
  <c r="P209" i="2"/>
  <c r="P210" i="2"/>
  <c r="P212" i="2"/>
  <c r="P213" i="2"/>
  <c r="P214" i="2"/>
  <c r="P215" i="2"/>
  <c r="P216" i="2"/>
  <c r="P217" i="2"/>
  <c r="P218" i="2"/>
  <c r="P219" i="2"/>
  <c r="P220" i="2"/>
  <c r="P221" i="2"/>
  <c r="P222" i="2"/>
  <c r="P224" i="2"/>
  <c r="P225" i="2"/>
  <c r="P227" i="2"/>
  <c r="P229" i="2"/>
  <c r="P230" i="2"/>
  <c r="P231" i="2"/>
  <c r="P233" i="2"/>
  <c r="P234" i="2"/>
  <c r="P236" i="2"/>
  <c r="P237" i="2"/>
  <c r="P239" i="2"/>
  <c r="P240" i="2"/>
  <c r="P241" i="2"/>
  <c r="P242" i="2"/>
  <c r="P244" i="2"/>
  <c r="P245" i="2"/>
  <c r="P246" i="2"/>
  <c r="P247" i="2"/>
  <c r="P249" i="2"/>
  <c r="P250" i="2"/>
  <c r="P251" i="2"/>
  <c r="P252" i="2"/>
  <c r="P254" i="2"/>
  <c r="P255" i="2"/>
  <c r="P256" i="2"/>
  <c r="P257" i="2"/>
  <c r="P259" i="2"/>
  <c r="P260" i="2"/>
  <c r="P261" i="2"/>
  <c r="P262" i="2"/>
  <c r="P264" i="2"/>
  <c r="P265" i="2"/>
  <c r="P266" i="2"/>
  <c r="P267" i="2"/>
  <c r="P269" i="2"/>
  <c r="P270" i="2"/>
  <c r="P271" i="2"/>
  <c r="P272" i="2"/>
  <c r="P273" i="2"/>
  <c r="P274" i="2"/>
  <c r="P275" i="2"/>
  <c r="P276" i="2"/>
  <c r="P277" i="2"/>
  <c r="P278" i="2"/>
  <c r="P280" i="2"/>
  <c r="P281" i="2"/>
  <c r="P282" i="2"/>
  <c r="P283" i="2"/>
  <c r="P285" i="2"/>
  <c r="P286" i="2"/>
  <c r="P287" i="2"/>
  <c r="P288" i="2"/>
  <c r="P290" i="2"/>
  <c r="P291" i="2"/>
  <c r="P292" i="2"/>
  <c r="P293" i="2"/>
  <c r="P295" i="2"/>
  <c r="P296" i="2"/>
  <c r="P297" i="2"/>
  <c r="P298" i="2"/>
  <c r="P300" i="2"/>
  <c r="P301" i="2"/>
  <c r="P302" i="2"/>
  <c r="P303" i="2"/>
  <c r="P305" i="2"/>
  <c r="P306" i="2"/>
  <c r="P307" i="2"/>
  <c r="P308" i="2"/>
  <c r="P325" i="2"/>
  <c r="P326" i="2"/>
  <c r="P327" i="2"/>
  <c r="P328" i="2"/>
  <c r="P330" i="2"/>
  <c r="P331" i="2"/>
  <c r="P332" i="2"/>
  <c r="P333" i="2"/>
  <c r="P335" i="2"/>
  <c r="P336" i="2"/>
  <c r="P337" i="2"/>
  <c r="P338" i="2"/>
  <c r="P340" i="2"/>
  <c r="P341" i="2"/>
  <c r="P342" i="2"/>
  <c r="P343" i="2"/>
  <c r="P345" i="2"/>
  <c r="P346" i="2"/>
  <c r="P347" i="2"/>
  <c r="P348" i="2"/>
  <c r="P349" i="2"/>
  <c r="P350" i="2"/>
  <c r="P351" i="2"/>
  <c r="P352" i="2"/>
  <c r="P353" i="2"/>
  <c r="P354" i="2"/>
  <c r="P355" i="2"/>
  <c r="P356" i="2"/>
  <c r="P357" i="2"/>
  <c r="P358" i="2"/>
  <c r="P359" i="2"/>
  <c r="P360" i="2"/>
  <c r="P361" i="2"/>
  <c r="P363" i="2"/>
  <c r="P364" i="2"/>
  <c r="P365" i="2"/>
  <c r="P366" i="2"/>
  <c r="P368" i="2"/>
  <c r="P369" i="2"/>
  <c r="P370" i="2"/>
  <c r="P371" i="2"/>
  <c r="P372" i="2"/>
  <c r="P374" i="2"/>
  <c r="P375" i="2"/>
  <c r="P376" i="2"/>
  <c r="P377" i="2"/>
  <c r="P379" i="2"/>
  <c r="P380" i="2"/>
  <c r="P381" i="2"/>
  <c r="P382" i="2"/>
  <c r="P399" i="2"/>
  <c r="P400" i="2"/>
  <c r="P401" i="2"/>
  <c r="P402" i="2"/>
  <c r="P404" i="2"/>
  <c r="P405" i="2"/>
  <c r="P406" i="2"/>
  <c r="P407" i="2"/>
  <c r="P408" i="2"/>
  <c r="P409" i="2"/>
  <c r="P410" i="2"/>
  <c r="P422" i="2"/>
  <c r="P423" i="2"/>
  <c r="P425" i="2"/>
  <c r="I114" i="12" s="1"/>
  <c r="P426" i="2"/>
  <c r="P427" i="2"/>
  <c r="P429" i="2"/>
  <c r="I115" i="12" s="1"/>
  <c r="P431" i="2"/>
  <c r="P432" i="2"/>
  <c r="P433" i="2"/>
  <c r="P434" i="2"/>
  <c r="P435" i="2"/>
  <c r="P436" i="2"/>
  <c r="P438" i="2"/>
  <c r="P439" i="2"/>
  <c r="P441" i="2"/>
  <c r="P442" i="2"/>
  <c r="P443" i="2"/>
  <c r="P444" i="2"/>
  <c r="P445" i="2"/>
  <c r="P446" i="2"/>
  <c r="P447" i="2"/>
  <c r="P448" i="2"/>
  <c r="P449" i="2"/>
  <c r="P450" i="2"/>
  <c r="P457" i="2"/>
  <c r="P458" i="2"/>
  <c r="P459" i="2"/>
  <c r="P460" i="2"/>
  <c r="P462" i="2"/>
  <c r="P463" i="2"/>
  <c r="P464" i="2"/>
  <c r="P465" i="2"/>
  <c r="P467" i="2"/>
  <c r="P468" i="2"/>
  <c r="P469" i="2"/>
  <c r="P470" i="2"/>
  <c r="P472" i="2"/>
  <c r="P473" i="2"/>
  <c r="P474" i="2"/>
  <c r="P475" i="2"/>
  <c r="P477" i="2"/>
  <c r="P478" i="2"/>
  <c r="P479" i="2"/>
  <c r="P480" i="2"/>
  <c r="P482" i="2"/>
  <c r="P483" i="2"/>
  <c r="P484" i="2"/>
  <c r="P485" i="2"/>
  <c r="P487" i="2"/>
  <c r="P488" i="2"/>
  <c r="P489" i="2"/>
  <c r="P490" i="2"/>
  <c r="P492" i="2"/>
  <c r="P493" i="2"/>
  <c r="P494" i="2"/>
  <c r="P495" i="2"/>
  <c r="P497" i="2"/>
  <c r="P498" i="2"/>
  <c r="P499" i="2"/>
  <c r="P500" i="2"/>
  <c r="P502" i="2"/>
  <c r="P503" i="2"/>
  <c r="P504" i="2"/>
  <c r="P505" i="2"/>
  <c r="P507" i="2"/>
  <c r="P508" i="2"/>
  <c r="P509" i="2"/>
  <c r="P510" i="2"/>
  <c r="P512" i="2"/>
  <c r="P513" i="2"/>
  <c r="P514" i="2"/>
  <c r="P515" i="2"/>
  <c r="P517" i="2"/>
  <c r="P518" i="2"/>
  <c r="P519" i="2"/>
  <c r="P520" i="2"/>
  <c r="P522" i="2"/>
  <c r="P523" i="2"/>
  <c r="P524" i="2"/>
  <c r="P525" i="2"/>
  <c r="P527" i="2"/>
  <c r="P528" i="2"/>
  <c r="P529" i="2"/>
  <c r="P530" i="2"/>
  <c r="P552" i="2"/>
  <c r="P553" i="2"/>
  <c r="P554" i="2"/>
  <c r="P555" i="2"/>
  <c r="P557" i="2"/>
  <c r="P558" i="2"/>
  <c r="P559" i="2"/>
  <c r="P560" i="2"/>
  <c r="P562" i="2"/>
  <c r="P563" i="2"/>
  <c r="P564" i="2"/>
  <c r="P565" i="2"/>
  <c r="P567" i="2"/>
  <c r="P568" i="2"/>
  <c r="P569" i="2"/>
  <c r="P570" i="2"/>
  <c r="J17" i="12"/>
  <c r="J18" i="12"/>
  <c r="P29" i="3"/>
  <c r="J19" i="12" s="1"/>
  <c r="P30" i="3"/>
  <c r="J20" i="12" s="1"/>
  <c r="P31" i="3"/>
  <c r="J21" i="12" s="1"/>
  <c r="P32" i="3"/>
  <c r="J22" i="12" s="1"/>
  <c r="P33" i="3"/>
  <c r="J23" i="12" s="1"/>
  <c r="P34" i="3"/>
  <c r="J24" i="12" s="1"/>
  <c r="P35" i="3"/>
  <c r="J25" i="12" s="1"/>
  <c r="P36" i="3"/>
  <c r="J26" i="12" s="1"/>
  <c r="P37" i="3"/>
  <c r="J27" i="12" s="1"/>
  <c r="P38" i="3"/>
  <c r="J28" i="12" s="1"/>
  <c r="P39" i="3"/>
  <c r="J29" i="12"/>
  <c r="P40" i="3"/>
  <c r="J30" i="12" s="1"/>
  <c r="P41" i="3"/>
  <c r="J31" i="12" s="1"/>
  <c r="P42" i="3"/>
  <c r="J32" i="12" s="1"/>
  <c r="P43" i="3"/>
  <c r="J33" i="12" s="1"/>
  <c r="P47" i="3"/>
  <c r="J35" i="12" s="1"/>
  <c r="P48" i="3"/>
  <c r="J36" i="12"/>
  <c r="P49" i="3"/>
  <c r="J37" i="12" s="1"/>
  <c r="P50" i="3"/>
  <c r="J38" i="12" s="1"/>
  <c r="P51" i="3"/>
  <c r="J39" i="12" s="1"/>
  <c r="P52" i="3"/>
  <c r="J40" i="12" s="1"/>
  <c r="P53" i="3"/>
  <c r="J41" i="12" s="1"/>
  <c r="P54" i="3"/>
  <c r="J42" i="12"/>
  <c r="P55" i="3"/>
  <c r="J43" i="12" s="1"/>
  <c r="P56" i="3"/>
  <c r="J44" i="12"/>
  <c r="P57" i="3"/>
  <c r="J45" i="12" s="1"/>
  <c r="P58" i="3"/>
  <c r="J46" i="12" s="1"/>
  <c r="P59" i="3"/>
  <c r="J47" i="12" s="1"/>
  <c r="P60" i="3"/>
  <c r="J48" i="12" s="1"/>
  <c r="P61" i="3"/>
  <c r="J49" i="12" s="1"/>
  <c r="Q10" i="2"/>
  <c r="Q11" i="2"/>
  <c r="Q12" i="2"/>
  <c r="Q13" i="2"/>
  <c r="Q14" i="2"/>
  <c r="Q15" i="2"/>
  <c r="Q16" i="2"/>
  <c r="Q17" i="2"/>
  <c r="Q19" i="2"/>
  <c r="Q20" i="2"/>
  <c r="Q21" i="2"/>
  <c r="Q22" i="2"/>
  <c r="Q23" i="2"/>
  <c r="Q24" i="2"/>
  <c r="Q26" i="2"/>
  <c r="Q27" i="2"/>
  <c r="Q28" i="2"/>
  <c r="Q29" i="2"/>
  <c r="Q30" i="2"/>
  <c r="Q31" i="2"/>
  <c r="Q32" i="2"/>
  <c r="Q33" i="2"/>
  <c r="Q34" i="2"/>
  <c r="Q36" i="2"/>
  <c r="Q37" i="2"/>
  <c r="Q38" i="2"/>
  <c r="Q39" i="2"/>
  <c r="Q40"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7" i="2"/>
  <c r="Q78" i="2"/>
  <c r="Q79" i="2"/>
  <c r="Q80" i="2"/>
  <c r="Q81" i="2"/>
  <c r="Q83" i="2"/>
  <c r="Q84" i="2"/>
  <c r="Q85" i="2"/>
  <c r="Q86" i="2"/>
  <c r="Q87" i="2"/>
  <c r="Q88" i="2"/>
  <c r="Q89" i="2"/>
  <c r="Q90" i="2"/>
  <c r="Q91" i="2"/>
  <c r="Q92" i="2"/>
  <c r="Q93" i="2"/>
  <c r="Q94" i="2"/>
  <c r="Q96" i="2"/>
  <c r="Q97" i="2"/>
  <c r="Q98" i="2"/>
  <c r="Q99" i="2"/>
  <c r="Q100" i="2"/>
  <c r="Q101" i="2"/>
  <c r="Q102" i="2"/>
  <c r="Q103" i="2"/>
  <c r="Q104" i="2"/>
  <c r="Q106" i="2"/>
  <c r="Q107" i="2"/>
  <c r="Q108" i="2"/>
  <c r="Q109" i="2"/>
  <c r="Q110" i="2"/>
  <c r="Q112" i="2"/>
  <c r="Q113" i="2"/>
  <c r="Q114" i="2"/>
  <c r="Q115" i="2"/>
  <c r="Q116" i="2"/>
  <c r="Q117" i="2"/>
  <c r="Q118" i="2"/>
  <c r="Q119" i="2"/>
  <c r="Q121" i="2"/>
  <c r="Q122" i="2"/>
  <c r="Q123" i="2"/>
  <c r="Q124" i="2"/>
  <c r="Q126" i="2"/>
  <c r="Q127" i="2"/>
  <c r="Q128" i="2"/>
  <c r="Q129" i="2"/>
  <c r="Q130" i="2"/>
  <c r="Q131" i="2"/>
  <c r="Q132" i="2"/>
  <c r="Q133" i="2"/>
  <c r="Q134" i="2"/>
  <c r="Q135" i="2"/>
  <c r="Q136" i="2"/>
  <c r="Q137" i="2"/>
  <c r="Q138" i="2"/>
  <c r="Q140" i="2"/>
  <c r="Q141" i="2"/>
  <c r="Q142" i="2"/>
  <c r="Q143" i="2"/>
  <c r="Q145" i="2"/>
  <c r="Q146" i="2"/>
  <c r="Q147" i="2"/>
  <c r="Q148" i="2"/>
  <c r="Q150" i="2"/>
  <c r="Q151" i="2"/>
  <c r="Q152" i="2"/>
  <c r="Q153" i="2"/>
  <c r="Q155" i="2"/>
  <c r="Q156" i="2"/>
  <c r="Q157" i="2"/>
  <c r="Q158" i="2"/>
  <c r="Q160" i="2"/>
  <c r="Q161" i="2"/>
  <c r="Q162" i="2"/>
  <c r="Q163" i="2"/>
  <c r="Q165" i="2"/>
  <c r="Q166" i="2"/>
  <c r="Q167" i="2"/>
  <c r="Q168" i="2"/>
  <c r="Q170" i="2"/>
  <c r="Q171" i="2"/>
  <c r="Q172" i="2"/>
  <c r="Q173" i="2"/>
  <c r="Q175" i="2"/>
  <c r="Q176" i="2"/>
  <c r="Q177" i="2"/>
  <c r="Q178" i="2"/>
  <c r="Q180" i="2"/>
  <c r="Q181" i="2"/>
  <c r="Q182" i="2"/>
  <c r="Q183" i="2"/>
  <c r="Q184" i="2"/>
  <c r="Q186" i="2"/>
  <c r="Q187" i="2"/>
  <c r="Q188" i="2"/>
  <c r="Q189" i="2"/>
  <c r="Q190" i="2"/>
  <c r="Q191" i="2"/>
  <c r="Q192" i="2"/>
  <c r="Q193" i="2"/>
  <c r="Q194" i="2"/>
  <c r="Q195" i="2"/>
  <c r="Q196" i="2"/>
  <c r="Q197" i="2"/>
  <c r="Q205" i="2"/>
  <c r="Q206" i="2"/>
  <c r="Q207" i="2"/>
  <c r="Q208" i="2"/>
  <c r="Q209" i="2"/>
  <c r="Q210" i="2"/>
  <c r="Q212" i="2"/>
  <c r="Q213" i="2"/>
  <c r="Q214" i="2"/>
  <c r="Q215" i="2"/>
  <c r="Q216" i="2"/>
  <c r="Q217" i="2"/>
  <c r="Q218" i="2"/>
  <c r="Q219" i="2"/>
  <c r="Q220" i="2"/>
  <c r="Q221" i="2"/>
  <c r="Q222" i="2"/>
  <c r="Q224" i="2"/>
  <c r="Q225" i="2"/>
  <c r="Q226" i="2"/>
  <c r="Q227" i="2"/>
  <c r="Q229" i="2"/>
  <c r="Q230" i="2"/>
  <c r="Q231" i="2"/>
  <c r="Q233" i="2"/>
  <c r="Q234" i="2"/>
  <c r="Q236" i="2"/>
  <c r="Q237" i="2"/>
  <c r="J83" i="12" s="1"/>
  <c r="Q239" i="2"/>
  <c r="Q240" i="2"/>
  <c r="Q241" i="2"/>
  <c r="Q242" i="2"/>
  <c r="Q244" i="2"/>
  <c r="Q245" i="2"/>
  <c r="Q246" i="2"/>
  <c r="Q247" i="2"/>
  <c r="Q249" i="2"/>
  <c r="Q250" i="2"/>
  <c r="Q251" i="2"/>
  <c r="Q252" i="2"/>
  <c r="Q254" i="2"/>
  <c r="Q255" i="2"/>
  <c r="Q256" i="2"/>
  <c r="Q257" i="2"/>
  <c r="Q259" i="2"/>
  <c r="Q260" i="2"/>
  <c r="Q261" i="2"/>
  <c r="Q262" i="2"/>
  <c r="Q264" i="2"/>
  <c r="Q265" i="2"/>
  <c r="Q266" i="2"/>
  <c r="Q267" i="2"/>
  <c r="Q269" i="2"/>
  <c r="Q270" i="2"/>
  <c r="Q271" i="2"/>
  <c r="Q272" i="2"/>
  <c r="Q273" i="2"/>
  <c r="Q274" i="2"/>
  <c r="Q275" i="2"/>
  <c r="Q276" i="2"/>
  <c r="Q277" i="2"/>
  <c r="Q278" i="2"/>
  <c r="Q280" i="2"/>
  <c r="Q281" i="2"/>
  <c r="Q282" i="2"/>
  <c r="Q283" i="2"/>
  <c r="Q285" i="2"/>
  <c r="Q286" i="2"/>
  <c r="Q287" i="2"/>
  <c r="Q288" i="2"/>
  <c r="Q290" i="2"/>
  <c r="Q291" i="2"/>
  <c r="Q292" i="2"/>
  <c r="Q293" i="2"/>
  <c r="Q295" i="2"/>
  <c r="Q296" i="2"/>
  <c r="Q297" i="2"/>
  <c r="Q298" i="2"/>
  <c r="Q300" i="2"/>
  <c r="Q301" i="2"/>
  <c r="Q302" i="2"/>
  <c r="Q303" i="2"/>
  <c r="Q305" i="2"/>
  <c r="Q306" i="2"/>
  <c r="Q307" i="2"/>
  <c r="Q308" i="2"/>
  <c r="Q325" i="2"/>
  <c r="Q326" i="2"/>
  <c r="Q327" i="2"/>
  <c r="Q328" i="2"/>
  <c r="Q330" i="2"/>
  <c r="Q331" i="2"/>
  <c r="Q332" i="2"/>
  <c r="Q333" i="2"/>
  <c r="Q335" i="2"/>
  <c r="Q336" i="2"/>
  <c r="Q337" i="2"/>
  <c r="Q338" i="2"/>
  <c r="Q340" i="2"/>
  <c r="Q341" i="2"/>
  <c r="Q342" i="2"/>
  <c r="Q343" i="2"/>
  <c r="Q345" i="2"/>
  <c r="Q346" i="2"/>
  <c r="Q347" i="2"/>
  <c r="Q348" i="2"/>
  <c r="Q349" i="2"/>
  <c r="Q350" i="2"/>
  <c r="Q351" i="2"/>
  <c r="Q352" i="2"/>
  <c r="Q353" i="2"/>
  <c r="Q354" i="2"/>
  <c r="Q355" i="2"/>
  <c r="Q356" i="2"/>
  <c r="Q357" i="2"/>
  <c r="Q358" i="2"/>
  <c r="Q359" i="2"/>
  <c r="Q360" i="2"/>
  <c r="Q361" i="2"/>
  <c r="Q363" i="2"/>
  <c r="Q364" i="2"/>
  <c r="Q365" i="2"/>
  <c r="Q366" i="2"/>
  <c r="Q368" i="2"/>
  <c r="Q369" i="2"/>
  <c r="Q370" i="2"/>
  <c r="Q371" i="2"/>
  <c r="Q372" i="2"/>
  <c r="Q374" i="2"/>
  <c r="Q375" i="2"/>
  <c r="Q376" i="2"/>
  <c r="Q377" i="2"/>
  <c r="Q379" i="2"/>
  <c r="Q380" i="2"/>
  <c r="Q381" i="2"/>
  <c r="Q382" i="2"/>
  <c r="Q399" i="2"/>
  <c r="Q400" i="2"/>
  <c r="Q401" i="2"/>
  <c r="Q402" i="2"/>
  <c r="Q404" i="2"/>
  <c r="Q405" i="2"/>
  <c r="Q406" i="2"/>
  <c r="Q407" i="2"/>
  <c r="Q408" i="2"/>
  <c r="Q409" i="2"/>
  <c r="Q410" i="2"/>
  <c r="Q422" i="2"/>
  <c r="Q423" i="2"/>
  <c r="Q425" i="2"/>
  <c r="Q426" i="2"/>
  <c r="Q427" i="2"/>
  <c r="Q429" i="2"/>
  <c r="J115" i="12" s="1"/>
  <c r="Q431" i="2"/>
  <c r="Q432" i="2"/>
  <c r="Q433" i="2"/>
  <c r="Q434" i="2"/>
  <c r="Q435" i="2"/>
  <c r="Q436" i="2"/>
  <c r="Q438" i="2"/>
  <c r="Q439" i="2"/>
  <c r="Q441" i="2"/>
  <c r="Q442" i="2"/>
  <c r="Q443" i="2"/>
  <c r="Q444" i="2"/>
  <c r="Q445" i="2"/>
  <c r="Q446" i="2"/>
  <c r="Q447" i="2"/>
  <c r="Q448" i="2"/>
  <c r="Q449" i="2"/>
  <c r="Q450" i="2"/>
  <c r="Q457" i="2"/>
  <c r="Q458" i="2"/>
  <c r="Q459" i="2"/>
  <c r="Q460" i="2"/>
  <c r="Q462" i="2"/>
  <c r="Q463" i="2"/>
  <c r="Q464" i="2"/>
  <c r="Q465" i="2"/>
  <c r="Q467" i="2"/>
  <c r="Q468" i="2"/>
  <c r="Q469" i="2"/>
  <c r="Q470" i="2"/>
  <c r="Q472" i="2"/>
  <c r="Q473" i="2"/>
  <c r="Q474" i="2"/>
  <c r="Q475" i="2"/>
  <c r="Q477" i="2"/>
  <c r="Q478" i="2"/>
  <c r="Q479" i="2"/>
  <c r="Q480" i="2"/>
  <c r="Q482" i="2"/>
  <c r="Q483" i="2"/>
  <c r="Q484" i="2"/>
  <c r="Q485" i="2"/>
  <c r="Q487" i="2"/>
  <c r="Q488" i="2"/>
  <c r="Q489" i="2"/>
  <c r="Q490" i="2"/>
  <c r="Q492" i="2"/>
  <c r="Q493" i="2"/>
  <c r="Q494" i="2"/>
  <c r="Q495" i="2"/>
  <c r="Q497" i="2"/>
  <c r="Q498" i="2"/>
  <c r="Q499" i="2"/>
  <c r="Q500" i="2"/>
  <c r="Q502" i="2"/>
  <c r="Q503" i="2"/>
  <c r="Q504" i="2"/>
  <c r="Q505" i="2"/>
  <c r="Q507" i="2"/>
  <c r="Q508" i="2"/>
  <c r="Q509" i="2"/>
  <c r="Q510" i="2"/>
  <c r="Q512" i="2"/>
  <c r="Q513" i="2"/>
  <c r="Q514" i="2"/>
  <c r="Q515" i="2"/>
  <c r="Q517" i="2"/>
  <c r="Q518" i="2"/>
  <c r="Q519" i="2"/>
  <c r="Q520" i="2"/>
  <c r="Q522" i="2"/>
  <c r="Q523" i="2"/>
  <c r="Q524" i="2"/>
  <c r="Q525" i="2"/>
  <c r="Q527" i="2"/>
  <c r="Q528" i="2"/>
  <c r="Q529" i="2"/>
  <c r="Q530" i="2"/>
  <c r="Q552" i="2"/>
  <c r="Q553" i="2"/>
  <c r="Q554" i="2"/>
  <c r="Q555" i="2"/>
  <c r="Q557" i="2"/>
  <c r="Q558" i="2"/>
  <c r="Q559" i="2"/>
  <c r="Q560" i="2"/>
  <c r="Q562" i="2"/>
  <c r="Q563" i="2"/>
  <c r="Q564" i="2"/>
  <c r="Q565" i="2"/>
  <c r="Q567" i="2"/>
  <c r="Q568" i="2"/>
  <c r="Q569" i="2"/>
  <c r="Q570" i="2"/>
  <c r="K17" i="12"/>
  <c r="Q29" i="3"/>
  <c r="K19" i="12" s="1"/>
  <c r="Q30" i="3"/>
  <c r="K20" i="12" s="1"/>
  <c r="Q31" i="3"/>
  <c r="K21" i="12" s="1"/>
  <c r="Q32" i="3"/>
  <c r="K22" i="12" s="1"/>
  <c r="Q33" i="3"/>
  <c r="K23" i="12" s="1"/>
  <c r="Q34" i="3"/>
  <c r="K24" i="12" s="1"/>
  <c r="Q35" i="3"/>
  <c r="K25" i="12" s="1"/>
  <c r="Q36" i="3"/>
  <c r="K26" i="12" s="1"/>
  <c r="Q37" i="3"/>
  <c r="K27" i="12"/>
  <c r="Q38" i="3"/>
  <c r="K28" i="12" s="1"/>
  <c r="Q39" i="3"/>
  <c r="K29" i="12"/>
  <c r="Q40" i="3"/>
  <c r="K30" i="12" s="1"/>
  <c r="Q41" i="3"/>
  <c r="K31" i="12" s="1"/>
  <c r="Q42" i="3"/>
  <c r="K32" i="12" s="1"/>
  <c r="Q43" i="3"/>
  <c r="K33" i="12" s="1"/>
  <c r="Q47" i="3"/>
  <c r="K35" i="12" s="1"/>
  <c r="Q48" i="3"/>
  <c r="K36" i="12"/>
  <c r="Q49" i="3"/>
  <c r="K37" i="12" s="1"/>
  <c r="Q50" i="3"/>
  <c r="K38" i="12" s="1"/>
  <c r="Q51" i="3"/>
  <c r="K39" i="12" s="1"/>
  <c r="Q52" i="3"/>
  <c r="K40" i="12" s="1"/>
  <c r="Q53" i="3"/>
  <c r="K41" i="12" s="1"/>
  <c r="Q54" i="3"/>
  <c r="K42" i="12"/>
  <c r="Q55" i="3"/>
  <c r="K43" i="12" s="1"/>
  <c r="Q56" i="3"/>
  <c r="K44" i="12" s="1"/>
  <c r="Q57" i="3"/>
  <c r="K45" i="12" s="1"/>
  <c r="Q58" i="3"/>
  <c r="K46" i="12" s="1"/>
  <c r="Q59" i="3"/>
  <c r="Q60" i="3"/>
  <c r="K48" i="12"/>
  <c r="Q61" i="3"/>
  <c r="K49" i="12"/>
  <c r="R10" i="2"/>
  <c r="R11" i="2"/>
  <c r="R12" i="2"/>
  <c r="R13" i="2"/>
  <c r="R14" i="2"/>
  <c r="R15" i="2"/>
  <c r="R16" i="2"/>
  <c r="R17" i="2"/>
  <c r="R19" i="2"/>
  <c r="R20" i="2"/>
  <c r="R21" i="2"/>
  <c r="R22" i="2"/>
  <c r="R23" i="2"/>
  <c r="R24" i="2"/>
  <c r="R26" i="2"/>
  <c r="R27" i="2"/>
  <c r="R28" i="2"/>
  <c r="R29" i="2"/>
  <c r="R30" i="2"/>
  <c r="R31" i="2"/>
  <c r="R32" i="2"/>
  <c r="R33" i="2"/>
  <c r="R34" i="2"/>
  <c r="R36" i="2"/>
  <c r="R37" i="2"/>
  <c r="R38" i="2"/>
  <c r="R39" i="2"/>
  <c r="R40"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7" i="2"/>
  <c r="R78" i="2"/>
  <c r="R79" i="2"/>
  <c r="R80" i="2"/>
  <c r="R81" i="2"/>
  <c r="R83" i="2"/>
  <c r="R84" i="2"/>
  <c r="R85" i="2"/>
  <c r="R86" i="2"/>
  <c r="R87" i="2"/>
  <c r="R88" i="2"/>
  <c r="R89" i="2"/>
  <c r="R90" i="2"/>
  <c r="R91" i="2"/>
  <c r="R92" i="2"/>
  <c r="R93" i="2"/>
  <c r="R94" i="2"/>
  <c r="R96" i="2"/>
  <c r="R97" i="2"/>
  <c r="R98" i="2"/>
  <c r="R99" i="2"/>
  <c r="R100" i="2"/>
  <c r="R101" i="2"/>
  <c r="R102" i="2"/>
  <c r="R103" i="2"/>
  <c r="R104" i="2"/>
  <c r="R106" i="2"/>
  <c r="R107" i="2"/>
  <c r="R108" i="2"/>
  <c r="R109" i="2"/>
  <c r="R110" i="2"/>
  <c r="R112" i="2"/>
  <c r="R113" i="2"/>
  <c r="R114" i="2"/>
  <c r="R115" i="2"/>
  <c r="R116" i="2"/>
  <c r="R117" i="2"/>
  <c r="R118" i="2"/>
  <c r="R119" i="2"/>
  <c r="R121" i="2"/>
  <c r="R122" i="2"/>
  <c r="R123" i="2"/>
  <c r="R124" i="2"/>
  <c r="R126" i="2"/>
  <c r="R127" i="2"/>
  <c r="R128" i="2"/>
  <c r="R129" i="2"/>
  <c r="R130" i="2"/>
  <c r="R131" i="2"/>
  <c r="R132" i="2"/>
  <c r="R133" i="2"/>
  <c r="R134" i="2"/>
  <c r="R135" i="2"/>
  <c r="R136" i="2"/>
  <c r="R137" i="2"/>
  <c r="R138" i="2"/>
  <c r="R140" i="2"/>
  <c r="R141" i="2"/>
  <c r="R142" i="2"/>
  <c r="R143" i="2"/>
  <c r="R145" i="2"/>
  <c r="R146" i="2"/>
  <c r="R147" i="2"/>
  <c r="R148" i="2"/>
  <c r="R150" i="2"/>
  <c r="R151" i="2"/>
  <c r="R152" i="2"/>
  <c r="R153" i="2"/>
  <c r="R155" i="2"/>
  <c r="R156" i="2"/>
  <c r="R157" i="2"/>
  <c r="R158" i="2"/>
  <c r="R160" i="2"/>
  <c r="R161" i="2"/>
  <c r="R162" i="2"/>
  <c r="R163" i="2"/>
  <c r="R165" i="2"/>
  <c r="R166" i="2"/>
  <c r="R167" i="2"/>
  <c r="R168" i="2"/>
  <c r="R170" i="2"/>
  <c r="R171" i="2"/>
  <c r="R172" i="2"/>
  <c r="R173" i="2"/>
  <c r="R175" i="2"/>
  <c r="R176" i="2"/>
  <c r="R177" i="2"/>
  <c r="R178" i="2"/>
  <c r="R180" i="2"/>
  <c r="R181" i="2"/>
  <c r="R182" i="2"/>
  <c r="R183" i="2"/>
  <c r="R184" i="2"/>
  <c r="R186" i="2"/>
  <c r="R187" i="2"/>
  <c r="R188" i="2"/>
  <c r="R189" i="2"/>
  <c r="R190" i="2"/>
  <c r="R191" i="2"/>
  <c r="R192" i="2"/>
  <c r="R193" i="2"/>
  <c r="R194" i="2"/>
  <c r="R195" i="2"/>
  <c r="R196" i="2"/>
  <c r="R197" i="2"/>
  <c r="R205" i="2"/>
  <c r="R206" i="2"/>
  <c r="R207" i="2"/>
  <c r="R208" i="2"/>
  <c r="R209" i="2"/>
  <c r="R210" i="2"/>
  <c r="R212" i="2"/>
  <c r="R213" i="2"/>
  <c r="R214" i="2"/>
  <c r="R215" i="2"/>
  <c r="R216" i="2"/>
  <c r="R217" i="2"/>
  <c r="R218" i="2"/>
  <c r="R219" i="2"/>
  <c r="R220" i="2"/>
  <c r="R221" i="2"/>
  <c r="R222" i="2"/>
  <c r="R224" i="2"/>
  <c r="R225" i="2"/>
  <c r="R227" i="2"/>
  <c r="R229" i="2"/>
  <c r="R230" i="2"/>
  <c r="R231" i="2"/>
  <c r="R233" i="2"/>
  <c r="R234" i="2"/>
  <c r="R236" i="2"/>
  <c r="R237" i="2"/>
  <c r="R239" i="2"/>
  <c r="R240" i="2"/>
  <c r="R241" i="2"/>
  <c r="R242" i="2"/>
  <c r="R244" i="2"/>
  <c r="R245" i="2"/>
  <c r="R246" i="2"/>
  <c r="R247" i="2"/>
  <c r="R249" i="2"/>
  <c r="R250" i="2"/>
  <c r="R251" i="2"/>
  <c r="R252" i="2"/>
  <c r="R254" i="2"/>
  <c r="R255" i="2"/>
  <c r="R256" i="2"/>
  <c r="R257" i="2"/>
  <c r="R259" i="2"/>
  <c r="R260" i="2"/>
  <c r="R261" i="2"/>
  <c r="R262" i="2"/>
  <c r="R264" i="2"/>
  <c r="R265" i="2"/>
  <c r="R266" i="2"/>
  <c r="R267" i="2"/>
  <c r="R269" i="2"/>
  <c r="R270" i="2"/>
  <c r="R271" i="2"/>
  <c r="R272" i="2"/>
  <c r="R273" i="2"/>
  <c r="R274" i="2"/>
  <c r="R275" i="2"/>
  <c r="R276" i="2"/>
  <c r="R277" i="2"/>
  <c r="R278" i="2"/>
  <c r="R280" i="2"/>
  <c r="R281" i="2"/>
  <c r="R282" i="2"/>
  <c r="R283" i="2"/>
  <c r="R285" i="2"/>
  <c r="R286" i="2"/>
  <c r="R287" i="2"/>
  <c r="R288" i="2"/>
  <c r="R290" i="2"/>
  <c r="R291" i="2"/>
  <c r="R292" i="2"/>
  <c r="R293" i="2"/>
  <c r="R295" i="2"/>
  <c r="R296" i="2"/>
  <c r="R297" i="2"/>
  <c r="R298" i="2"/>
  <c r="R300" i="2"/>
  <c r="R301" i="2"/>
  <c r="R302" i="2"/>
  <c r="R303" i="2"/>
  <c r="R305" i="2"/>
  <c r="R306" i="2"/>
  <c r="R307" i="2"/>
  <c r="R308" i="2"/>
  <c r="R325" i="2"/>
  <c r="R326" i="2"/>
  <c r="R327" i="2"/>
  <c r="R328" i="2"/>
  <c r="R330" i="2"/>
  <c r="R331" i="2"/>
  <c r="R332" i="2"/>
  <c r="R333" i="2"/>
  <c r="R335" i="2"/>
  <c r="R336" i="2"/>
  <c r="R337" i="2"/>
  <c r="R338" i="2"/>
  <c r="R340" i="2"/>
  <c r="R341" i="2"/>
  <c r="R342" i="2"/>
  <c r="R343" i="2"/>
  <c r="R345" i="2"/>
  <c r="R346" i="2"/>
  <c r="R347" i="2"/>
  <c r="R348" i="2"/>
  <c r="R349" i="2"/>
  <c r="R350" i="2"/>
  <c r="R351" i="2"/>
  <c r="R352" i="2"/>
  <c r="R353" i="2"/>
  <c r="R354" i="2"/>
  <c r="R355" i="2"/>
  <c r="R356" i="2"/>
  <c r="R357" i="2"/>
  <c r="R358" i="2"/>
  <c r="R359" i="2"/>
  <c r="R360" i="2"/>
  <c r="R361" i="2"/>
  <c r="R363" i="2"/>
  <c r="R364" i="2"/>
  <c r="R365" i="2"/>
  <c r="R366" i="2"/>
  <c r="R368" i="2"/>
  <c r="R369" i="2"/>
  <c r="R370" i="2"/>
  <c r="R371" i="2"/>
  <c r="R372" i="2"/>
  <c r="R374" i="2"/>
  <c r="R375" i="2"/>
  <c r="R376" i="2"/>
  <c r="R377" i="2"/>
  <c r="R379" i="2"/>
  <c r="R380" i="2"/>
  <c r="R381" i="2"/>
  <c r="R382" i="2"/>
  <c r="R399" i="2"/>
  <c r="K112" i="12" s="1"/>
  <c r="R400" i="2"/>
  <c r="R401" i="2"/>
  <c r="R402" i="2"/>
  <c r="R404" i="2"/>
  <c r="R405" i="2"/>
  <c r="R406" i="2"/>
  <c r="R407" i="2"/>
  <c r="R408" i="2"/>
  <c r="R409" i="2"/>
  <c r="R410" i="2"/>
  <c r="R422" i="2"/>
  <c r="R423" i="2"/>
  <c r="R425" i="2"/>
  <c r="R426" i="2"/>
  <c r="R427" i="2"/>
  <c r="R429" i="2"/>
  <c r="K115" i="12" s="1"/>
  <c r="R431" i="2"/>
  <c r="R432" i="2"/>
  <c r="R433" i="2"/>
  <c r="R434" i="2"/>
  <c r="R435" i="2"/>
  <c r="R436" i="2"/>
  <c r="R438" i="2"/>
  <c r="R439" i="2"/>
  <c r="R441" i="2"/>
  <c r="R442" i="2"/>
  <c r="R443" i="2"/>
  <c r="R444" i="2"/>
  <c r="R445" i="2"/>
  <c r="R446" i="2"/>
  <c r="R447" i="2"/>
  <c r="R448" i="2"/>
  <c r="R449" i="2"/>
  <c r="R450" i="2"/>
  <c r="R457" i="2"/>
  <c r="R458" i="2"/>
  <c r="R459" i="2"/>
  <c r="R460" i="2"/>
  <c r="R462" i="2"/>
  <c r="R463" i="2"/>
  <c r="R464" i="2"/>
  <c r="R465" i="2"/>
  <c r="R467" i="2"/>
  <c r="R468" i="2"/>
  <c r="R469" i="2"/>
  <c r="R470" i="2"/>
  <c r="R472" i="2"/>
  <c r="R473" i="2"/>
  <c r="R474" i="2"/>
  <c r="R475" i="2"/>
  <c r="R477" i="2"/>
  <c r="R478" i="2"/>
  <c r="R479" i="2"/>
  <c r="R480" i="2"/>
  <c r="R482" i="2"/>
  <c r="R483" i="2"/>
  <c r="R484" i="2"/>
  <c r="R485" i="2"/>
  <c r="R487" i="2"/>
  <c r="R488" i="2"/>
  <c r="R489" i="2"/>
  <c r="R490" i="2"/>
  <c r="R492" i="2"/>
  <c r="R493" i="2"/>
  <c r="R494" i="2"/>
  <c r="R495" i="2"/>
  <c r="R497" i="2"/>
  <c r="R498" i="2"/>
  <c r="R499" i="2"/>
  <c r="R500" i="2"/>
  <c r="R502" i="2"/>
  <c r="R503" i="2"/>
  <c r="R504" i="2"/>
  <c r="R505" i="2"/>
  <c r="R507" i="2"/>
  <c r="R508" i="2"/>
  <c r="R509" i="2"/>
  <c r="R510" i="2"/>
  <c r="R512" i="2"/>
  <c r="R513" i="2"/>
  <c r="R514" i="2"/>
  <c r="R515" i="2"/>
  <c r="R517" i="2"/>
  <c r="R518" i="2"/>
  <c r="R519" i="2"/>
  <c r="R520" i="2"/>
  <c r="R522" i="2"/>
  <c r="R523" i="2"/>
  <c r="R524" i="2"/>
  <c r="R525" i="2"/>
  <c r="R527" i="2"/>
  <c r="R528" i="2"/>
  <c r="R529" i="2"/>
  <c r="R530" i="2"/>
  <c r="R552" i="2"/>
  <c r="R553" i="2"/>
  <c r="R554" i="2"/>
  <c r="R555" i="2"/>
  <c r="R557" i="2"/>
  <c r="R558" i="2"/>
  <c r="R559" i="2"/>
  <c r="R560" i="2"/>
  <c r="R562" i="2"/>
  <c r="R563" i="2"/>
  <c r="R564" i="2"/>
  <c r="R565" i="2"/>
  <c r="R567" i="2"/>
  <c r="R568" i="2"/>
  <c r="R569" i="2"/>
  <c r="R570" i="2"/>
  <c r="L17" i="12"/>
  <c r="L18" i="12"/>
  <c r="R29" i="3"/>
  <c r="L19" i="12" s="1"/>
  <c r="R30" i="3"/>
  <c r="L20" i="12" s="1"/>
  <c r="R31" i="3"/>
  <c r="L21" i="12" s="1"/>
  <c r="R32" i="3"/>
  <c r="L22" i="12" s="1"/>
  <c r="R33" i="3"/>
  <c r="L23" i="12" s="1"/>
  <c r="R34" i="3"/>
  <c r="L24" i="12" s="1"/>
  <c r="R35" i="3"/>
  <c r="L25" i="12" s="1"/>
  <c r="R36" i="3"/>
  <c r="L26" i="12" s="1"/>
  <c r="R37" i="3"/>
  <c r="L27" i="12" s="1"/>
  <c r="R38" i="3"/>
  <c r="L28" i="12" s="1"/>
  <c r="R39" i="3"/>
  <c r="L29" i="12" s="1"/>
  <c r="R40" i="3"/>
  <c r="L30" i="12" s="1"/>
  <c r="R41" i="3"/>
  <c r="L31" i="12" s="1"/>
  <c r="R42" i="3"/>
  <c r="R43" i="3"/>
  <c r="L33" i="12" s="1"/>
  <c r="R47" i="3"/>
  <c r="L35" i="12" s="1"/>
  <c r="R48" i="3"/>
  <c r="L36" i="12"/>
  <c r="R49" i="3"/>
  <c r="L37" i="12" s="1"/>
  <c r="R50" i="3"/>
  <c r="L38" i="12" s="1"/>
  <c r="R51" i="3"/>
  <c r="L39" i="12" s="1"/>
  <c r="R52" i="3"/>
  <c r="L40" i="12" s="1"/>
  <c r="R53" i="3"/>
  <c r="L41" i="12" s="1"/>
  <c r="R54" i="3"/>
  <c r="L42" i="12" s="1"/>
  <c r="R55" i="3"/>
  <c r="L43" i="12" s="1"/>
  <c r="R56" i="3"/>
  <c r="L44" i="12" s="1"/>
  <c r="R57" i="3"/>
  <c r="L45" i="12" s="1"/>
  <c r="R58" i="3"/>
  <c r="L46" i="12" s="1"/>
  <c r="R59" i="3"/>
  <c r="L47" i="12" s="1"/>
  <c r="R60" i="3"/>
  <c r="L48" i="12" s="1"/>
  <c r="R61" i="3"/>
  <c r="L49" i="12" s="1"/>
  <c r="S10" i="2"/>
  <c r="S11" i="2"/>
  <c r="S12" i="2"/>
  <c r="S13" i="2"/>
  <c r="S14" i="2"/>
  <c r="S15" i="2"/>
  <c r="S16" i="2"/>
  <c r="S17" i="2"/>
  <c r="S19" i="2"/>
  <c r="S20" i="2"/>
  <c r="S21" i="2"/>
  <c r="S22" i="2"/>
  <c r="S23" i="2"/>
  <c r="S24" i="2"/>
  <c r="S26" i="2"/>
  <c r="S27" i="2"/>
  <c r="S28" i="2"/>
  <c r="S29" i="2"/>
  <c r="S30" i="2"/>
  <c r="S31" i="2"/>
  <c r="S32" i="2"/>
  <c r="S33" i="2"/>
  <c r="S34" i="2"/>
  <c r="S36" i="2"/>
  <c r="S37" i="2"/>
  <c r="S38" i="2"/>
  <c r="S39" i="2"/>
  <c r="S40"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7" i="2"/>
  <c r="S78" i="2"/>
  <c r="S79" i="2"/>
  <c r="S80" i="2"/>
  <c r="S81" i="2"/>
  <c r="S83" i="2"/>
  <c r="S84" i="2"/>
  <c r="S85" i="2"/>
  <c r="S86" i="2"/>
  <c r="S87" i="2"/>
  <c r="S88" i="2"/>
  <c r="S89" i="2"/>
  <c r="S90" i="2"/>
  <c r="S91" i="2"/>
  <c r="S92" i="2"/>
  <c r="S93" i="2"/>
  <c r="S94" i="2"/>
  <c r="S96" i="2"/>
  <c r="S97" i="2"/>
  <c r="S98" i="2"/>
  <c r="S99" i="2"/>
  <c r="S100" i="2"/>
  <c r="S101" i="2"/>
  <c r="S102" i="2"/>
  <c r="S103" i="2"/>
  <c r="S104" i="2"/>
  <c r="S106" i="2"/>
  <c r="S107" i="2"/>
  <c r="S108" i="2"/>
  <c r="S109" i="2"/>
  <c r="S110" i="2"/>
  <c r="S112" i="2"/>
  <c r="S113" i="2"/>
  <c r="S114" i="2"/>
  <c r="S115" i="2"/>
  <c r="S116" i="2"/>
  <c r="S117" i="2"/>
  <c r="S118" i="2"/>
  <c r="S119" i="2"/>
  <c r="S121" i="2"/>
  <c r="S122" i="2"/>
  <c r="S123" i="2"/>
  <c r="S124" i="2"/>
  <c r="S126" i="2"/>
  <c r="S127" i="2"/>
  <c r="S128" i="2"/>
  <c r="S129" i="2"/>
  <c r="S130" i="2"/>
  <c r="S131" i="2"/>
  <c r="S132" i="2"/>
  <c r="S133" i="2"/>
  <c r="S134" i="2"/>
  <c r="S135" i="2"/>
  <c r="S136" i="2"/>
  <c r="S137" i="2"/>
  <c r="S138" i="2"/>
  <c r="S140" i="2"/>
  <c r="S141" i="2"/>
  <c r="S142" i="2"/>
  <c r="S143" i="2"/>
  <c r="S145" i="2"/>
  <c r="S146" i="2"/>
  <c r="S147" i="2"/>
  <c r="S148" i="2"/>
  <c r="S150" i="2"/>
  <c r="S151" i="2"/>
  <c r="S152" i="2"/>
  <c r="S153" i="2"/>
  <c r="S155" i="2"/>
  <c r="S156" i="2"/>
  <c r="S157" i="2"/>
  <c r="S158" i="2"/>
  <c r="S160" i="2"/>
  <c r="S161" i="2"/>
  <c r="S162" i="2"/>
  <c r="S163" i="2"/>
  <c r="S165" i="2"/>
  <c r="S166" i="2"/>
  <c r="S167" i="2"/>
  <c r="S168" i="2"/>
  <c r="S170" i="2"/>
  <c r="S171" i="2"/>
  <c r="S172" i="2"/>
  <c r="S173" i="2"/>
  <c r="S175" i="2"/>
  <c r="S176" i="2"/>
  <c r="S177" i="2"/>
  <c r="S178" i="2"/>
  <c r="S180" i="2"/>
  <c r="S181" i="2"/>
  <c r="S182" i="2"/>
  <c r="S183" i="2"/>
  <c r="S184" i="2"/>
  <c r="S186" i="2"/>
  <c r="S187" i="2"/>
  <c r="S188" i="2"/>
  <c r="S189" i="2"/>
  <c r="S190" i="2"/>
  <c r="S191" i="2"/>
  <c r="S192" i="2"/>
  <c r="S193" i="2"/>
  <c r="S194" i="2"/>
  <c r="S195" i="2"/>
  <c r="S196" i="2"/>
  <c r="S197" i="2"/>
  <c r="S205" i="2"/>
  <c r="S206" i="2"/>
  <c r="S207" i="2"/>
  <c r="S208" i="2"/>
  <c r="S209" i="2"/>
  <c r="S210" i="2"/>
  <c r="S212" i="2"/>
  <c r="S213" i="2"/>
  <c r="S214" i="2"/>
  <c r="S215" i="2"/>
  <c r="S216" i="2"/>
  <c r="S217" i="2"/>
  <c r="S218" i="2"/>
  <c r="S219" i="2"/>
  <c r="S220" i="2"/>
  <c r="S221" i="2"/>
  <c r="S222" i="2"/>
  <c r="S224" i="2"/>
  <c r="S225" i="2"/>
  <c r="S226" i="2"/>
  <c r="S227" i="2"/>
  <c r="S229" i="2"/>
  <c r="S230" i="2"/>
  <c r="S231" i="2"/>
  <c r="S233" i="2"/>
  <c r="S234" i="2"/>
  <c r="S236" i="2"/>
  <c r="S237" i="2"/>
  <c r="S239" i="2"/>
  <c r="S240" i="2"/>
  <c r="S241" i="2"/>
  <c r="S242" i="2"/>
  <c r="S244" i="2"/>
  <c r="S245" i="2"/>
  <c r="S246" i="2"/>
  <c r="S247" i="2"/>
  <c r="S249" i="2"/>
  <c r="S250" i="2"/>
  <c r="S251" i="2"/>
  <c r="S252" i="2"/>
  <c r="S254" i="2"/>
  <c r="S255" i="2"/>
  <c r="S256" i="2"/>
  <c r="S257" i="2"/>
  <c r="S259" i="2"/>
  <c r="S260" i="2"/>
  <c r="S261" i="2"/>
  <c r="S262" i="2"/>
  <c r="S264" i="2"/>
  <c r="S265" i="2"/>
  <c r="S266" i="2"/>
  <c r="S267" i="2"/>
  <c r="S269" i="2"/>
  <c r="S270" i="2"/>
  <c r="S271" i="2"/>
  <c r="S272" i="2"/>
  <c r="S273" i="2"/>
  <c r="S274" i="2"/>
  <c r="S275" i="2"/>
  <c r="S276" i="2"/>
  <c r="S277" i="2"/>
  <c r="S278" i="2"/>
  <c r="S280" i="2"/>
  <c r="S281" i="2"/>
  <c r="S282" i="2"/>
  <c r="S283" i="2"/>
  <c r="S285" i="2"/>
  <c r="S286" i="2"/>
  <c r="S287" i="2"/>
  <c r="S288" i="2"/>
  <c r="S290" i="2"/>
  <c r="S291" i="2"/>
  <c r="S292" i="2"/>
  <c r="S293" i="2"/>
  <c r="S295" i="2"/>
  <c r="S296" i="2"/>
  <c r="S297" i="2"/>
  <c r="S298" i="2"/>
  <c r="S300" i="2"/>
  <c r="S301" i="2"/>
  <c r="S302" i="2"/>
  <c r="S303" i="2"/>
  <c r="S305" i="2"/>
  <c r="S306" i="2"/>
  <c r="S307" i="2"/>
  <c r="S308" i="2"/>
  <c r="S325" i="2"/>
  <c r="S326" i="2"/>
  <c r="S327" i="2"/>
  <c r="S328" i="2"/>
  <c r="S330" i="2"/>
  <c r="S331" i="2"/>
  <c r="S332" i="2"/>
  <c r="S333" i="2"/>
  <c r="S335" i="2"/>
  <c r="S336" i="2"/>
  <c r="S337" i="2"/>
  <c r="S338" i="2"/>
  <c r="S340" i="2"/>
  <c r="S341" i="2"/>
  <c r="S342" i="2"/>
  <c r="S343" i="2"/>
  <c r="S345" i="2"/>
  <c r="S346" i="2"/>
  <c r="S347" i="2"/>
  <c r="S348" i="2"/>
  <c r="S349" i="2"/>
  <c r="S350" i="2"/>
  <c r="S351" i="2"/>
  <c r="S352" i="2"/>
  <c r="S353" i="2"/>
  <c r="S354" i="2"/>
  <c r="S355" i="2"/>
  <c r="S356" i="2"/>
  <c r="S357" i="2"/>
  <c r="S358" i="2"/>
  <c r="S359" i="2"/>
  <c r="S360" i="2"/>
  <c r="S361" i="2"/>
  <c r="S363" i="2"/>
  <c r="S364" i="2"/>
  <c r="S365" i="2"/>
  <c r="S366" i="2"/>
  <c r="S368" i="2"/>
  <c r="S369" i="2"/>
  <c r="S370" i="2"/>
  <c r="S371" i="2"/>
  <c r="S372" i="2"/>
  <c r="S374" i="2"/>
  <c r="S375" i="2"/>
  <c r="S376" i="2"/>
  <c r="S377" i="2"/>
  <c r="S379" i="2"/>
  <c r="S380" i="2"/>
  <c r="S381" i="2"/>
  <c r="S382" i="2"/>
  <c r="S399" i="2"/>
  <c r="S400" i="2"/>
  <c r="S401" i="2"/>
  <c r="S402" i="2"/>
  <c r="S404" i="2"/>
  <c r="S405" i="2"/>
  <c r="S406" i="2"/>
  <c r="S407" i="2"/>
  <c r="S408" i="2"/>
  <c r="S409" i="2"/>
  <c r="S410" i="2"/>
  <c r="S422" i="2"/>
  <c r="S423" i="2"/>
  <c r="S425" i="2"/>
  <c r="S426" i="2"/>
  <c r="S427" i="2"/>
  <c r="S429" i="2"/>
  <c r="L115" i="12" s="1"/>
  <c r="S431" i="2"/>
  <c r="S432" i="2"/>
  <c r="S433" i="2"/>
  <c r="S435" i="2"/>
  <c r="S436" i="2"/>
  <c r="S438" i="2"/>
  <c r="S439" i="2"/>
  <c r="S441" i="2"/>
  <c r="S442" i="2"/>
  <c r="S443" i="2"/>
  <c r="S444" i="2"/>
  <c r="S445" i="2"/>
  <c r="S446" i="2"/>
  <c r="S447" i="2"/>
  <c r="S448" i="2"/>
  <c r="S449" i="2"/>
  <c r="S450" i="2"/>
  <c r="S457" i="2"/>
  <c r="S458" i="2"/>
  <c r="S459" i="2"/>
  <c r="S460" i="2"/>
  <c r="S462" i="2"/>
  <c r="S463" i="2"/>
  <c r="S464" i="2"/>
  <c r="S465" i="2"/>
  <c r="S467" i="2"/>
  <c r="S468" i="2"/>
  <c r="S469" i="2"/>
  <c r="S470" i="2"/>
  <c r="S472" i="2"/>
  <c r="S473" i="2"/>
  <c r="S474" i="2"/>
  <c r="S475" i="2"/>
  <c r="S477" i="2"/>
  <c r="S478" i="2"/>
  <c r="S479" i="2"/>
  <c r="S480" i="2"/>
  <c r="S482" i="2"/>
  <c r="S483" i="2"/>
  <c r="S484" i="2"/>
  <c r="S485" i="2"/>
  <c r="S487" i="2"/>
  <c r="S488" i="2"/>
  <c r="S489" i="2"/>
  <c r="S490" i="2"/>
  <c r="S492" i="2"/>
  <c r="S493" i="2"/>
  <c r="S494" i="2"/>
  <c r="S495" i="2"/>
  <c r="S497" i="2"/>
  <c r="S498" i="2"/>
  <c r="S499" i="2"/>
  <c r="S500" i="2"/>
  <c r="S502" i="2"/>
  <c r="S503" i="2"/>
  <c r="S504" i="2"/>
  <c r="S505" i="2"/>
  <c r="S507" i="2"/>
  <c r="S508" i="2"/>
  <c r="S509" i="2"/>
  <c r="S510" i="2"/>
  <c r="S512" i="2"/>
  <c r="S513" i="2"/>
  <c r="S514" i="2"/>
  <c r="S515" i="2"/>
  <c r="S517" i="2"/>
  <c r="S518" i="2"/>
  <c r="S519" i="2"/>
  <c r="S520" i="2"/>
  <c r="S522" i="2"/>
  <c r="S523" i="2"/>
  <c r="S524" i="2"/>
  <c r="S525" i="2"/>
  <c r="S527" i="2"/>
  <c r="S528" i="2"/>
  <c r="S529" i="2"/>
  <c r="S530" i="2"/>
  <c r="S552" i="2"/>
  <c r="S553" i="2"/>
  <c r="S554" i="2"/>
  <c r="S555" i="2"/>
  <c r="S557" i="2"/>
  <c r="S558" i="2"/>
  <c r="S559" i="2"/>
  <c r="S560" i="2"/>
  <c r="S562" i="2"/>
  <c r="S563" i="2"/>
  <c r="S564" i="2"/>
  <c r="S565" i="2"/>
  <c r="S567" i="2"/>
  <c r="S568" i="2"/>
  <c r="S569" i="2"/>
  <c r="S570" i="2"/>
  <c r="M17" i="12"/>
  <c r="M18" i="12"/>
  <c r="S29" i="3"/>
  <c r="M19" i="12" s="1"/>
  <c r="S30" i="3"/>
  <c r="M20" i="12" s="1"/>
  <c r="S31" i="3"/>
  <c r="M21" i="12" s="1"/>
  <c r="S32" i="3"/>
  <c r="M22" i="12" s="1"/>
  <c r="S33" i="3"/>
  <c r="M23" i="12" s="1"/>
  <c r="S34" i="3"/>
  <c r="M24" i="12" s="1"/>
  <c r="S35" i="3"/>
  <c r="M25" i="12"/>
  <c r="S36" i="3"/>
  <c r="M26" i="12" s="1"/>
  <c r="S37" i="3"/>
  <c r="M27" i="12" s="1"/>
  <c r="S38" i="3"/>
  <c r="M28" i="12" s="1"/>
  <c r="S39" i="3"/>
  <c r="M29" i="12"/>
  <c r="S40" i="3"/>
  <c r="M30" i="12" s="1"/>
  <c r="S41" i="3"/>
  <c r="M31" i="12" s="1"/>
  <c r="S42" i="3"/>
  <c r="M32" i="12" s="1"/>
  <c r="S43" i="3"/>
  <c r="M33" i="12" s="1"/>
  <c r="S47" i="3"/>
  <c r="M35" i="12" s="1"/>
  <c r="S48" i="3"/>
  <c r="M36" i="12"/>
  <c r="S49" i="3"/>
  <c r="M37" i="12" s="1"/>
  <c r="S50" i="3"/>
  <c r="M38" i="12" s="1"/>
  <c r="S51" i="3"/>
  <c r="M39" i="12" s="1"/>
  <c r="S52" i="3"/>
  <c r="M40" i="12"/>
  <c r="S53" i="3"/>
  <c r="M41" i="12" s="1"/>
  <c r="S54" i="3"/>
  <c r="M42" i="12" s="1"/>
  <c r="S55" i="3"/>
  <c r="M43" i="12" s="1"/>
  <c r="S56" i="3"/>
  <c r="M44" i="12" s="1"/>
  <c r="S57" i="3"/>
  <c r="M45" i="12" s="1"/>
  <c r="S58" i="3"/>
  <c r="M46" i="12" s="1"/>
  <c r="S59" i="3"/>
  <c r="M47" i="12" s="1"/>
  <c r="S60" i="3"/>
  <c r="M48" i="12" s="1"/>
  <c r="S61" i="3"/>
  <c r="M49" i="12" s="1"/>
  <c r="T10" i="2"/>
  <c r="T11" i="2"/>
  <c r="T12" i="2"/>
  <c r="T13" i="2"/>
  <c r="T14" i="2"/>
  <c r="T15" i="2"/>
  <c r="T16" i="2"/>
  <c r="T17" i="2"/>
  <c r="T19" i="2"/>
  <c r="T20" i="2"/>
  <c r="T21" i="2"/>
  <c r="T22" i="2"/>
  <c r="T23" i="2"/>
  <c r="T24" i="2"/>
  <c r="T26" i="2"/>
  <c r="T27" i="2"/>
  <c r="T28" i="2"/>
  <c r="T29" i="2"/>
  <c r="T30" i="2"/>
  <c r="T31" i="2"/>
  <c r="T32" i="2"/>
  <c r="T33" i="2"/>
  <c r="T34" i="2"/>
  <c r="T36" i="2"/>
  <c r="T37" i="2"/>
  <c r="T38" i="2"/>
  <c r="T39" i="2"/>
  <c r="T40"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7" i="2"/>
  <c r="T78" i="2"/>
  <c r="T79" i="2"/>
  <c r="T80" i="2"/>
  <c r="T81" i="2"/>
  <c r="T83" i="2"/>
  <c r="T84" i="2"/>
  <c r="T85" i="2"/>
  <c r="T86" i="2"/>
  <c r="T87" i="2"/>
  <c r="T88" i="2"/>
  <c r="T89" i="2"/>
  <c r="T90" i="2"/>
  <c r="T91" i="2"/>
  <c r="T92" i="2"/>
  <c r="T93" i="2"/>
  <c r="T94" i="2"/>
  <c r="T96" i="2"/>
  <c r="T97" i="2"/>
  <c r="T98" i="2"/>
  <c r="T99" i="2"/>
  <c r="T100" i="2"/>
  <c r="T101" i="2"/>
  <c r="T102" i="2"/>
  <c r="T103" i="2"/>
  <c r="T104" i="2"/>
  <c r="T106" i="2"/>
  <c r="T107" i="2"/>
  <c r="T108" i="2"/>
  <c r="T109" i="2"/>
  <c r="T110" i="2"/>
  <c r="T112" i="2"/>
  <c r="T113" i="2"/>
  <c r="T114" i="2"/>
  <c r="T115" i="2"/>
  <c r="T116" i="2"/>
  <c r="T117" i="2"/>
  <c r="T118" i="2"/>
  <c r="T119" i="2"/>
  <c r="T121" i="2"/>
  <c r="T122" i="2"/>
  <c r="T123" i="2"/>
  <c r="T124" i="2"/>
  <c r="T126" i="2"/>
  <c r="T127" i="2"/>
  <c r="T128" i="2"/>
  <c r="T129" i="2"/>
  <c r="T130" i="2"/>
  <c r="T131" i="2"/>
  <c r="T132" i="2"/>
  <c r="T133" i="2"/>
  <c r="T134" i="2"/>
  <c r="T135" i="2"/>
  <c r="T136" i="2"/>
  <c r="T137" i="2"/>
  <c r="T138" i="2"/>
  <c r="T140" i="2"/>
  <c r="T141" i="2"/>
  <c r="T142" i="2"/>
  <c r="T143" i="2"/>
  <c r="T145" i="2"/>
  <c r="T146" i="2"/>
  <c r="T147" i="2"/>
  <c r="T148" i="2"/>
  <c r="T150" i="2"/>
  <c r="T151" i="2"/>
  <c r="T152" i="2"/>
  <c r="T153" i="2"/>
  <c r="T155" i="2"/>
  <c r="T156" i="2"/>
  <c r="T157" i="2"/>
  <c r="T158" i="2"/>
  <c r="T160" i="2"/>
  <c r="T161" i="2"/>
  <c r="T162" i="2"/>
  <c r="T163" i="2"/>
  <c r="T165" i="2"/>
  <c r="T166" i="2"/>
  <c r="T167" i="2"/>
  <c r="T168" i="2"/>
  <c r="T170" i="2"/>
  <c r="T171" i="2"/>
  <c r="T172" i="2"/>
  <c r="T173" i="2"/>
  <c r="T175" i="2"/>
  <c r="T176" i="2"/>
  <c r="T177" i="2"/>
  <c r="T178" i="2"/>
  <c r="T180" i="2"/>
  <c r="T181" i="2"/>
  <c r="T182" i="2"/>
  <c r="T183" i="2"/>
  <c r="T184" i="2"/>
  <c r="T186" i="2"/>
  <c r="T187" i="2"/>
  <c r="T188" i="2"/>
  <c r="T189" i="2"/>
  <c r="T190" i="2"/>
  <c r="T191" i="2"/>
  <c r="T192" i="2"/>
  <c r="T193" i="2"/>
  <c r="T194" i="2"/>
  <c r="T195" i="2"/>
  <c r="T196" i="2"/>
  <c r="T197" i="2"/>
  <c r="T205" i="2"/>
  <c r="T206" i="2"/>
  <c r="T207" i="2"/>
  <c r="T208" i="2"/>
  <c r="T209" i="2"/>
  <c r="T210" i="2"/>
  <c r="T212" i="2"/>
  <c r="T213" i="2"/>
  <c r="T214" i="2"/>
  <c r="T215" i="2"/>
  <c r="T216" i="2"/>
  <c r="T217" i="2"/>
  <c r="T218" i="2"/>
  <c r="T219" i="2"/>
  <c r="T220" i="2"/>
  <c r="T221" i="2"/>
  <c r="T222" i="2"/>
  <c r="T224" i="2"/>
  <c r="T225" i="2"/>
  <c r="T227" i="2"/>
  <c r="T229" i="2"/>
  <c r="T230" i="2"/>
  <c r="T231" i="2"/>
  <c r="T233" i="2"/>
  <c r="T234" i="2"/>
  <c r="T236" i="2"/>
  <c r="T237" i="2"/>
  <c r="M83" i="12" s="1"/>
  <c r="T239" i="2"/>
  <c r="T240" i="2"/>
  <c r="T241" i="2"/>
  <c r="T242" i="2"/>
  <c r="T244" i="2"/>
  <c r="T245" i="2"/>
  <c r="T246" i="2"/>
  <c r="T247" i="2"/>
  <c r="T249" i="2"/>
  <c r="T250" i="2"/>
  <c r="T251" i="2"/>
  <c r="T252" i="2"/>
  <c r="T254" i="2"/>
  <c r="T255" i="2"/>
  <c r="T256" i="2"/>
  <c r="T257" i="2"/>
  <c r="T259" i="2"/>
  <c r="T260" i="2"/>
  <c r="T261" i="2"/>
  <c r="T262" i="2"/>
  <c r="T264" i="2"/>
  <c r="T265" i="2"/>
  <c r="T266" i="2"/>
  <c r="T267" i="2"/>
  <c r="T269" i="2"/>
  <c r="T270" i="2"/>
  <c r="T271" i="2"/>
  <c r="T272" i="2"/>
  <c r="T273" i="2"/>
  <c r="T274" i="2"/>
  <c r="T275" i="2"/>
  <c r="T276" i="2"/>
  <c r="T277" i="2"/>
  <c r="T278" i="2"/>
  <c r="T280" i="2"/>
  <c r="T281" i="2"/>
  <c r="T282" i="2"/>
  <c r="T283" i="2"/>
  <c r="T285" i="2"/>
  <c r="T286" i="2"/>
  <c r="T287" i="2"/>
  <c r="T288" i="2"/>
  <c r="T290" i="2"/>
  <c r="T291" i="2"/>
  <c r="T292" i="2"/>
  <c r="T293" i="2"/>
  <c r="T295" i="2"/>
  <c r="T296" i="2"/>
  <c r="T297" i="2"/>
  <c r="T298" i="2"/>
  <c r="T300" i="2"/>
  <c r="T301" i="2"/>
  <c r="T302" i="2"/>
  <c r="T303" i="2"/>
  <c r="T305" i="2"/>
  <c r="T306" i="2"/>
  <c r="T307" i="2"/>
  <c r="T308" i="2"/>
  <c r="T325" i="2"/>
  <c r="T326" i="2"/>
  <c r="T327" i="2"/>
  <c r="T328" i="2"/>
  <c r="T330" i="2"/>
  <c r="T331" i="2"/>
  <c r="T332" i="2"/>
  <c r="T333" i="2"/>
  <c r="T335" i="2"/>
  <c r="T336" i="2"/>
  <c r="T337" i="2"/>
  <c r="T338" i="2"/>
  <c r="T340" i="2"/>
  <c r="T341" i="2"/>
  <c r="T342" i="2"/>
  <c r="T343" i="2"/>
  <c r="T345" i="2"/>
  <c r="T346" i="2"/>
  <c r="T347" i="2"/>
  <c r="T348" i="2"/>
  <c r="T349" i="2"/>
  <c r="T350" i="2"/>
  <c r="T351" i="2"/>
  <c r="T352" i="2"/>
  <c r="T353" i="2"/>
  <c r="T354" i="2"/>
  <c r="T355" i="2"/>
  <c r="T356" i="2"/>
  <c r="T357" i="2"/>
  <c r="T358" i="2"/>
  <c r="T359" i="2"/>
  <c r="T360" i="2"/>
  <c r="T361" i="2"/>
  <c r="T363" i="2"/>
  <c r="T364" i="2"/>
  <c r="T365" i="2"/>
  <c r="T366" i="2"/>
  <c r="T368" i="2"/>
  <c r="T369" i="2"/>
  <c r="T370" i="2"/>
  <c r="T371" i="2"/>
  <c r="T372" i="2"/>
  <c r="T374" i="2"/>
  <c r="T375" i="2"/>
  <c r="T376" i="2"/>
  <c r="T377" i="2"/>
  <c r="T379" i="2"/>
  <c r="T380" i="2"/>
  <c r="T381" i="2"/>
  <c r="T382" i="2"/>
  <c r="T399" i="2"/>
  <c r="T400" i="2"/>
  <c r="T401" i="2"/>
  <c r="T402" i="2"/>
  <c r="T404" i="2"/>
  <c r="T405" i="2"/>
  <c r="T406" i="2"/>
  <c r="T407" i="2"/>
  <c r="T408" i="2"/>
  <c r="T409" i="2"/>
  <c r="T410" i="2"/>
  <c r="T422" i="2"/>
  <c r="T423" i="2"/>
  <c r="T425" i="2"/>
  <c r="T426" i="2"/>
  <c r="T427" i="2"/>
  <c r="T429" i="2"/>
  <c r="M115" i="12" s="1"/>
  <c r="T431" i="2"/>
  <c r="T432" i="2"/>
  <c r="T433" i="2"/>
  <c r="T434" i="2"/>
  <c r="T435" i="2"/>
  <c r="T436" i="2"/>
  <c r="T438" i="2"/>
  <c r="T439" i="2"/>
  <c r="T441" i="2"/>
  <c r="T442" i="2"/>
  <c r="T443" i="2"/>
  <c r="T444" i="2"/>
  <c r="T445" i="2"/>
  <c r="T446" i="2"/>
  <c r="T447" i="2"/>
  <c r="T448" i="2"/>
  <c r="T449" i="2"/>
  <c r="T450" i="2"/>
  <c r="T457" i="2"/>
  <c r="T458" i="2"/>
  <c r="T459" i="2"/>
  <c r="T460" i="2"/>
  <c r="T462" i="2"/>
  <c r="T463" i="2"/>
  <c r="T464" i="2"/>
  <c r="T465" i="2"/>
  <c r="T467" i="2"/>
  <c r="T468" i="2"/>
  <c r="T469" i="2"/>
  <c r="T470" i="2"/>
  <c r="T472" i="2"/>
  <c r="T473" i="2"/>
  <c r="T474" i="2"/>
  <c r="T475" i="2"/>
  <c r="T477" i="2"/>
  <c r="T478" i="2"/>
  <c r="T479" i="2"/>
  <c r="T480" i="2"/>
  <c r="T482" i="2"/>
  <c r="T483" i="2"/>
  <c r="T484" i="2"/>
  <c r="T485" i="2"/>
  <c r="T487" i="2"/>
  <c r="T488" i="2"/>
  <c r="T489" i="2"/>
  <c r="T490" i="2"/>
  <c r="T492" i="2"/>
  <c r="T493" i="2"/>
  <c r="T494" i="2"/>
  <c r="T495" i="2"/>
  <c r="T497" i="2"/>
  <c r="T498" i="2"/>
  <c r="T499" i="2"/>
  <c r="T500" i="2"/>
  <c r="T502" i="2"/>
  <c r="T503" i="2"/>
  <c r="T504" i="2"/>
  <c r="T505" i="2"/>
  <c r="T507" i="2"/>
  <c r="T508" i="2"/>
  <c r="T509" i="2"/>
  <c r="T510" i="2"/>
  <c r="T512" i="2"/>
  <c r="T513" i="2"/>
  <c r="T514" i="2"/>
  <c r="T515" i="2"/>
  <c r="T517" i="2"/>
  <c r="T518" i="2"/>
  <c r="T519" i="2"/>
  <c r="T520" i="2"/>
  <c r="T522" i="2"/>
  <c r="T523" i="2"/>
  <c r="T524" i="2"/>
  <c r="T525" i="2"/>
  <c r="T527" i="2"/>
  <c r="T528" i="2"/>
  <c r="T529" i="2"/>
  <c r="T530" i="2"/>
  <c r="T552" i="2"/>
  <c r="M139" i="12" s="1"/>
  <c r="T553" i="2"/>
  <c r="T554" i="2"/>
  <c r="T555" i="2"/>
  <c r="T557" i="2"/>
  <c r="M140" i="12" s="1"/>
  <c r="T558" i="2"/>
  <c r="T559" i="2"/>
  <c r="T560" i="2"/>
  <c r="T562" i="2"/>
  <c r="M141" i="12" s="1"/>
  <c r="T563" i="2"/>
  <c r="T564" i="2"/>
  <c r="T565" i="2"/>
  <c r="T567" i="2"/>
  <c r="T568" i="2"/>
  <c r="T569" i="2"/>
  <c r="T570" i="2"/>
  <c r="E2" i="4"/>
  <c r="F1" i="4" s="1"/>
  <c r="T29" i="3"/>
  <c r="T30" i="3"/>
  <c r="T31" i="3"/>
  <c r="T32" i="3"/>
  <c r="T33" i="3"/>
  <c r="T34" i="3"/>
  <c r="T35" i="3"/>
  <c r="T36" i="3"/>
  <c r="T37" i="3"/>
  <c r="T38" i="3"/>
  <c r="T39" i="3"/>
  <c r="T40" i="3"/>
  <c r="T41" i="3"/>
  <c r="T42" i="3"/>
  <c r="T43" i="3"/>
  <c r="B60" i="4"/>
  <c r="N55" i="12"/>
  <c r="N56" i="12"/>
  <c r="B64" i="4"/>
  <c r="B65" i="4"/>
  <c r="N60" i="12"/>
  <c r="B67" i="4"/>
  <c r="N62" i="12"/>
  <c r="B70" i="4"/>
  <c r="B73" i="4"/>
  <c r="B75" i="4"/>
  <c r="B76" i="4"/>
  <c r="N71" i="12"/>
  <c r="N72" i="12"/>
  <c r="B79" i="4"/>
  <c r="B80" i="4"/>
  <c r="B81" i="4"/>
  <c r="B84" i="4"/>
  <c r="B85" i="4"/>
  <c r="B86" i="4"/>
  <c r="B87" i="4"/>
  <c r="B91" i="4"/>
  <c r="B95" i="4"/>
  <c r="B96" i="4"/>
  <c r="B98" i="4"/>
  <c r="I98" i="4" s="1"/>
  <c r="B99" i="4"/>
  <c r="I99" i="4" s="1"/>
  <c r="B101" i="4"/>
  <c r="I101" i="4" s="1"/>
  <c r="E61" i="4"/>
  <c r="E62" i="4"/>
  <c r="E64" i="4"/>
  <c r="I64" i="4" s="1"/>
  <c r="E65" i="4"/>
  <c r="E67" i="4"/>
  <c r="E74" i="4"/>
  <c r="E75" i="4"/>
  <c r="E78" i="4"/>
  <c r="E79" i="4"/>
  <c r="E81" i="4"/>
  <c r="I81" i="4" s="1"/>
  <c r="E82" i="4"/>
  <c r="I82" i="4" s="1"/>
  <c r="E83" i="4"/>
  <c r="I83" i="4" s="1"/>
  <c r="N123" i="12"/>
  <c r="N124" i="12"/>
  <c r="E86" i="4"/>
  <c r="I86" i="4" s="1"/>
  <c r="E87" i="4"/>
  <c r="I87" i="4" s="1"/>
  <c r="N127" i="12"/>
  <c r="N128" i="12"/>
  <c r="E94" i="4"/>
  <c r="B13" i="20"/>
  <c r="B14" i="20"/>
  <c r="B15" i="20"/>
  <c r="B16" i="20"/>
  <c r="B17" i="20"/>
  <c r="B18" i="20"/>
  <c r="B19" i="20"/>
  <c r="B20" i="20"/>
  <c r="B21" i="20"/>
  <c r="B22" i="20"/>
  <c r="B23" i="20"/>
  <c r="B24" i="20"/>
  <c r="B25" i="20"/>
  <c r="B26" i="20"/>
  <c r="B27" i="20"/>
  <c r="A4" i="20"/>
  <c r="A5" i="20"/>
  <c r="A6" i="20"/>
  <c r="A7" i="20"/>
  <c r="A8" i="20"/>
  <c r="A9" i="20"/>
  <c r="A11" i="20"/>
  <c r="A12" i="20"/>
  <c r="A13" i="20"/>
  <c r="A14" i="20"/>
  <c r="A15" i="20"/>
  <c r="A16" i="20"/>
  <c r="A17" i="20"/>
  <c r="A18" i="20"/>
  <c r="A19" i="20"/>
  <c r="A20" i="20"/>
  <c r="A21" i="20"/>
  <c r="A22" i="20"/>
  <c r="A23" i="20"/>
  <c r="A24" i="20"/>
  <c r="A25" i="20"/>
  <c r="A26" i="20"/>
  <c r="A27" i="20"/>
  <c r="D141" i="19"/>
  <c r="D140" i="19"/>
  <c r="D139" i="19"/>
  <c r="D138" i="19"/>
  <c r="D137" i="19"/>
  <c r="D136" i="19"/>
  <c r="D135" i="19"/>
  <c r="D134" i="19"/>
  <c r="D133" i="19"/>
  <c r="D132" i="19"/>
  <c r="D131" i="19"/>
  <c r="D130" i="19"/>
  <c r="D129" i="19"/>
  <c r="D128" i="19"/>
  <c r="D127" i="19"/>
  <c r="D126" i="19"/>
  <c r="D125" i="19"/>
  <c r="D124" i="19"/>
  <c r="D123" i="19"/>
  <c r="D122" i="19"/>
  <c r="D121" i="19"/>
  <c r="D120" i="19"/>
  <c r="D119" i="19"/>
  <c r="D118" i="19"/>
  <c r="D117" i="19"/>
  <c r="D116" i="19"/>
  <c r="D115" i="19"/>
  <c r="D114" i="19"/>
  <c r="D113" i="19"/>
  <c r="D112" i="19"/>
  <c r="D111" i="19"/>
  <c r="D110" i="19"/>
  <c r="D109" i="19"/>
  <c r="D108" i="19"/>
  <c r="D107" i="19"/>
  <c r="D106" i="19"/>
  <c r="D105" i="19"/>
  <c r="D104" i="19"/>
  <c r="D103" i="19"/>
  <c r="D102" i="19"/>
  <c r="D101" i="19"/>
  <c r="D100" i="19"/>
  <c r="D99" i="19"/>
  <c r="D98" i="19"/>
  <c r="D97" i="19"/>
  <c r="D96" i="19"/>
  <c r="D95" i="19"/>
  <c r="D94" i="19"/>
  <c r="D93" i="19"/>
  <c r="D92" i="19"/>
  <c r="D91" i="19"/>
  <c r="D90" i="19"/>
  <c r="D89" i="19"/>
  <c r="D88" i="19"/>
  <c r="D87" i="19"/>
  <c r="D86" i="19"/>
  <c r="D85" i="19"/>
  <c r="D84" i="19"/>
  <c r="D83" i="19"/>
  <c r="D82" i="19"/>
  <c r="D81" i="19"/>
  <c r="D80" i="19"/>
  <c r="D79" i="19"/>
  <c r="D78" i="19"/>
  <c r="D77" i="19"/>
  <c r="D76" i="19"/>
  <c r="D75" i="19"/>
  <c r="D74" i="19"/>
  <c r="D73" i="19"/>
  <c r="D72" i="19"/>
  <c r="D71" i="19"/>
  <c r="D70" i="19"/>
  <c r="D69" i="19"/>
  <c r="D68" i="19"/>
  <c r="D67" i="19"/>
  <c r="D66" i="19"/>
  <c r="D65" i="19"/>
  <c r="D64" i="19"/>
  <c r="D63" i="19"/>
  <c r="D62" i="19"/>
  <c r="D61" i="19"/>
  <c r="D60" i="19"/>
  <c r="D59" i="19"/>
  <c r="D58" i="19"/>
  <c r="D57" i="19"/>
  <c r="D56" i="19"/>
  <c r="D55" i="19"/>
  <c r="D48" i="19"/>
  <c r="D47" i="19"/>
  <c r="D46" i="19"/>
  <c r="D45" i="19"/>
  <c r="D44" i="19"/>
  <c r="D43" i="19"/>
  <c r="D42" i="19"/>
  <c r="D41" i="19"/>
  <c r="D40" i="19"/>
  <c r="D39" i="19"/>
  <c r="D38" i="19"/>
  <c r="D37" i="19"/>
  <c r="D36" i="19"/>
  <c r="D35" i="19"/>
  <c r="D34" i="19"/>
  <c r="D12" i="19"/>
  <c r="D13" i="19"/>
  <c r="D14" i="19"/>
  <c r="D15" i="19"/>
  <c r="D16" i="19"/>
  <c r="D17" i="19"/>
  <c r="D18" i="19"/>
  <c r="D19" i="19"/>
  <c r="D20" i="19"/>
  <c r="D21" i="19"/>
  <c r="D22" i="19"/>
  <c r="D23" i="19"/>
  <c r="D24" i="19"/>
  <c r="D25" i="19"/>
  <c r="D26" i="19"/>
  <c r="D27" i="19"/>
  <c r="D28" i="19"/>
  <c r="D29" i="19"/>
  <c r="D30" i="19"/>
  <c r="D31" i="19"/>
  <c r="D32" i="19"/>
  <c r="D9" i="19"/>
  <c r="D10" i="19"/>
  <c r="D11" i="19"/>
  <c r="D8" i="19"/>
  <c r="F18" i="19"/>
  <c r="F19" i="19"/>
  <c r="F20" i="19"/>
  <c r="F21" i="19"/>
  <c r="F22" i="19"/>
  <c r="F23" i="19"/>
  <c r="F24" i="19"/>
  <c r="F25" i="19"/>
  <c r="F26" i="19"/>
  <c r="F27" i="19"/>
  <c r="F28" i="19"/>
  <c r="F29" i="19"/>
  <c r="F30" i="19"/>
  <c r="F31" i="19"/>
  <c r="F32" i="19"/>
  <c r="A9" i="19"/>
  <c r="A10" i="19"/>
  <c r="A11" i="19"/>
  <c r="A12" i="19"/>
  <c r="A13" i="19"/>
  <c r="A14" i="19"/>
  <c r="A16" i="19"/>
  <c r="A17" i="19"/>
  <c r="A18" i="19"/>
  <c r="A19" i="19"/>
  <c r="A20" i="19"/>
  <c r="A21" i="19"/>
  <c r="A22" i="19"/>
  <c r="A23" i="19"/>
  <c r="A24" i="19"/>
  <c r="A25" i="19"/>
  <c r="A26" i="19"/>
  <c r="A27" i="19"/>
  <c r="A28" i="19"/>
  <c r="A29" i="19"/>
  <c r="A30" i="19"/>
  <c r="A31" i="19"/>
  <c r="A32" i="19"/>
  <c r="A17" i="12"/>
  <c r="A18" i="12"/>
  <c r="A19" i="12"/>
  <c r="A20" i="12"/>
  <c r="A21" i="12"/>
  <c r="A22" i="12"/>
  <c r="A23" i="12"/>
  <c r="A24" i="12"/>
  <c r="A25" i="12"/>
  <c r="A26" i="12"/>
  <c r="A27" i="12"/>
  <c r="A28" i="12"/>
  <c r="A29" i="12"/>
  <c r="A30" i="12"/>
  <c r="A31" i="12"/>
  <c r="A32" i="12"/>
  <c r="A33" i="12"/>
  <c r="A37" i="12"/>
  <c r="A12" i="12"/>
  <c r="A13" i="12"/>
  <c r="A14" i="12"/>
  <c r="A15" i="12"/>
  <c r="N19" i="12"/>
  <c r="N20" i="12"/>
  <c r="N21" i="12"/>
  <c r="N22" i="12"/>
  <c r="N23" i="12"/>
  <c r="N24" i="12"/>
  <c r="N25" i="12"/>
  <c r="N26" i="12"/>
  <c r="N27" i="12"/>
  <c r="N28" i="12"/>
  <c r="N29" i="12"/>
  <c r="N30" i="12"/>
  <c r="N31" i="12"/>
  <c r="N32" i="12"/>
  <c r="N33" i="12"/>
  <c r="A11" i="12"/>
  <c r="D16" i="4"/>
  <c r="I16" i="4" s="1"/>
  <c r="D17" i="4"/>
  <c r="D18" i="4"/>
  <c r="I18" i="4" s="1"/>
  <c r="D19" i="4"/>
  <c r="I19" i="4" s="1"/>
  <c r="D20" i="4"/>
  <c r="I20" i="4" s="1"/>
  <c r="D21" i="4"/>
  <c r="D22" i="4"/>
  <c r="I22" i="4" s="1"/>
  <c r="D23" i="4"/>
  <c r="I23" i="4" s="1"/>
  <c r="D24" i="4"/>
  <c r="I24" i="4" s="1"/>
  <c r="D25" i="4"/>
  <c r="D26" i="4"/>
  <c r="I26" i="4" s="1"/>
  <c r="D27" i="4"/>
  <c r="I27" i="4" s="1"/>
  <c r="D28" i="4"/>
  <c r="I28" i="4" s="1"/>
  <c r="D29" i="4"/>
  <c r="A6" i="4"/>
  <c r="A7" i="4"/>
  <c r="A8" i="4"/>
  <c r="A9" i="4"/>
  <c r="A10" i="4"/>
  <c r="A11" i="4"/>
  <c r="A12" i="4"/>
  <c r="A5" i="4"/>
  <c r="H18" i="13"/>
  <c r="X18" i="13" s="1"/>
  <c r="H37" i="13"/>
  <c r="N77" i="12" s="1"/>
  <c r="H50" i="13"/>
  <c r="E16" i="3"/>
  <c r="E54" i="4" s="1"/>
  <c r="A191" i="4" s="1"/>
  <c r="C121" i="20"/>
  <c r="D121" i="20"/>
  <c r="C122" i="20"/>
  <c r="D122" i="20"/>
  <c r="C123" i="20"/>
  <c r="D123" i="20"/>
  <c r="C124" i="20"/>
  <c r="D124" i="20"/>
  <c r="C125" i="20"/>
  <c r="D125" i="20"/>
  <c r="C126" i="20"/>
  <c r="D126" i="20"/>
  <c r="C127" i="20"/>
  <c r="D127" i="20"/>
  <c r="C128" i="20"/>
  <c r="D128" i="20"/>
  <c r="C129" i="20"/>
  <c r="D129" i="20"/>
  <c r="C130" i="20"/>
  <c r="D130" i="20"/>
  <c r="D12" i="20"/>
  <c r="C12" i="20"/>
  <c r="D32" i="4"/>
  <c r="D33" i="4"/>
  <c r="D34" i="4"/>
  <c r="I34" i="4" s="1"/>
  <c r="D35" i="4"/>
  <c r="D36" i="4"/>
  <c r="I36" i="4" s="1"/>
  <c r="D37" i="4"/>
  <c r="D38" i="4"/>
  <c r="I38" i="4" s="1"/>
  <c r="D39" i="4"/>
  <c r="D40" i="4"/>
  <c r="I40" i="4" s="1"/>
  <c r="D41" i="4"/>
  <c r="D42" i="4"/>
  <c r="I42" i="4" s="1"/>
  <c r="D43" i="4"/>
  <c r="D44" i="4"/>
  <c r="I44" i="4" s="1"/>
  <c r="D45" i="4"/>
  <c r="D46" i="4"/>
  <c r="I46" i="4" s="1"/>
  <c r="F583" i="2"/>
  <c r="E131" i="4" s="1"/>
  <c r="F594" i="2"/>
  <c r="E141" i="4" s="1"/>
  <c r="E114" i="4" s="1"/>
  <c r="C11" i="20"/>
  <c r="D11" i="20"/>
  <c r="C4" i="20"/>
  <c r="D4" i="20"/>
  <c r="B143" i="19"/>
  <c r="C143" i="19"/>
  <c r="U570" i="2"/>
  <c r="U569" i="2"/>
  <c r="U568" i="2"/>
  <c r="U567" i="2"/>
  <c r="U565" i="2"/>
  <c r="U564" i="2"/>
  <c r="U563" i="2"/>
  <c r="U562" i="2"/>
  <c r="U560" i="2"/>
  <c r="U559" i="2"/>
  <c r="U558" i="2"/>
  <c r="U557" i="2"/>
  <c r="U555" i="2"/>
  <c r="U554" i="2"/>
  <c r="U553" i="2"/>
  <c r="U552" i="2"/>
  <c r="U530" i="2"/>
  <c r="U529" i="2"/>
  <c r="U528" i="2"/>
  <c r="U527" i="2"/>
  <c r="U525" i="2"/>
  <c r="U524" i="2"/>
  <c r="U523" i="2"/>
  <c r="U522" i="2"/>
  <c r="U520" i="2"/>
  <c r="U519" i="2"/>
  <c r="U518" i="2"/>
  <c r="U517" i="2"/>
  <c r="U515" i="2"/>
  <c r="U514" i="2"/>
  <c r="U513" i="2"/>
  <c r="U512" i="2"/>
  <c r="U510" i="2"/>
  <c r="U509" i="2"/>
  <c r="U508" i="2"/>
  <c r="U507" i="2"/>
  <c r="U505" i="2"/>
  <c r="U504" i="2"/>
  <c r="U503" i="2"/>
  <c r="U502" i="2"/>
  <c r="C9" i="20"/>
  <c r="D9" i="20"/>
  <c r="C10" i="20"/>
  <c r="D10" i="20"/>
  <c r="C13" i="20"/>
  <c r="D13" i="20"/>
  <c r="C14" i="20"/>
  <c r="D14" i="20"/>
  <c r="C15" i="20"/>
  <c r="D15" i="20"/>
  <c r="C16" i="20"/>
  <c r="D16" i="20"/>
  <c r="C17" i="20"/>
  <c r="D17" i="20"/>
  <c r="C18" i="20"/>
  <c r="D18" i="20"/>
  <c r="C19" i="20"/>
  <c r="D19" i="20"/>
  <c r="C20" i="20"/>
  <c r="D20" i="20"/>
  <c r="C21" i="20"/>
  <c r="D21" i="20"/>
  <c r="C22" i="20"/>
  <c r="D22" i="20"/>
  <c r="C23" i="20"/>
  <c r="D23" i="20"/>
  <c r="C24" i="20"/>
  <c r="D24" i="20"/>
  <c r="C25" i="20"/>
  <c r="D25" i="20"/>
  <c r="C26" i="20"/>
  <c r="D26" i="20"/>
  <c r="A8" i="19"/>
  <c r="B140" i="20"/>
  <c r="B141" i="20"/>
  <c r="B142" i="20"/>
  <c r="B143" i="20"/>
  <c r="B144" i="20"/>
  <c r="B131" i="20"/>
  <c r="A131" i="20"/>
  <c r="B139" i="20"/>
  <c r="B133" i="20"/>
  <c r="B134" i="20"/>
  <c r="B136" i="20"/>
  <c r="B137" i="20"/>
  <c r="B138" i="20"/>
  <c r="A140" i="20"/>
  <c r="A141" i="20"/>
  <c r="A142" i="20"/>
  <c r="A143" i="20"/>
  <c r="A144" i="20"/>
  <c r="A139" i="20"/>
  <c r="A133" i="20"/>
  <c r="A134" i="20"/>
  <c r="A135" i="20"/>
  <c r="A136" i="20"/>
  <c r="A137" i="20"/>
  <c r="A138" i="20"/>
  <c r="A132" i="20"/>
  <c r="C50" i="19"/>
  <c r="D3" i="20"/>
  <c r="D5" i="20"/>
  <c r="D6" i="20"/>
  <c r="D7" i="20"/>
  <c r="D8"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D71" i="20"/>
  <c r="D72" i="20"/>
  <c r="D73" i="20"/>
  <c r="D74" i="20"/>
  <c r="D75" i="20"/>
  <c r="D76" i="20"/>
  <c r="D77" i="20"/>
  <c r="D78" i="20"/>
  <c r="D79" i="20"/>
  <c r="D80" i="20"/>
  <c r="D81" i="20"/>
  <c r="D82" i="20"/>
  <c r="D83" i="20"/>
  <c r="D84" i="20"/>
  <c r="D85" i="20"/>
  <c r="D86" i="20"/>
  <c r="D87" i="20"/>
  <c r="D88" i="20"/>
  <c r="D89" i="20"/>
  <c r="D90" i="20"/>
  <c r="D91" i="20"/>
  <c r="D92" i="20"/>
  <c r="D93" i="20"/>
  <c r="D94" i="20"/>
  <c r="D95" i="20"/>
  <c r="D96" i="20"/>
  <c r="D97" i="20"/>
  <c r="D98" i="20"/>
  <c r="D99" i="20"/>
  <c r="D100" i="20"/>
  <c r="D101" i="20"/>
  <c r="D102" i="20"/>
  <c r="D103" i="20"/>
  <c r="D104" i="20"/>
  <c r="D105" i="20"/>
  <c r="D106" i="20"/>
  <c r="D107" i="20"/>
  <c r="D108" i="20"/>
  <c r="D109" i="20"/>
  <c r="D110" i="20"/>
  <c r="D111" i="20"/>
  <c r="D112" i="20"/>
  <c r="D113" i="20"/>
  <c r="D114" i="20"/>
  <c r="D115" i="20"/>
  <c r="D116" i="20"/>
  <c r="D117" i="20"/>
  <c r="D118" i="20"/>
  <c r="D119" i="20"/>
  <c r="D120" i="20"/>
  <c r="C109" i="20"/>
  <c r="C110" i="20"/>
  <c r="C111" i="20"/>
  <c r="C112" i="20"/>
  <c r="C113" i="20"/>
  <c r="C114" i="20"/>
  <c r="C115" i="20"/>
  <c r="C116" i="20"/>
  <c r="C117" i="20"/>
  <c r="C118" i="20"/>
  <c r="C119" i="20"/>
  <c r="C120" i="20"/>
  <c r="C44" i="20"/>
  <c r="C45" i="20"/>
  <c r="C46" i="20"/>
  <c r="C47" i="20"/>
  <c r="C48" i="20"/>
  <c r="C49" i="20"/>
  <c r="C50" i="20"/>
  <c r="C51" i="20"/>
  <c r="C52" i="20"/>
  <c r="C53" i="20"/>
  <c r="C54" i="20"/>
  <c r="C55" i="20"/>
  <c r="C56" i="20"/>
  <c r="C57" i="20"/>
  <c r="C58" i="20"/>
  <c r="C59" i="20"/>
  <c r="C60" i="20"/>
  <c r="C61" i="20"/>
  <c r="C62" i="20"/>
  <c r="C63" i="20"/>
  <c r="C64" i="20"/>
  <c r="C65" i="20"/>
  <c r="C66" i="20"/>
  <c r="C67" i="20"/>
  <c r="C68" i="20"/>
  <c r="C69" i="20"/>
  <c r="C70" i="20"/>
  <c r="C71" i="20"/>
  <c r="C72" i="20"/>
  <c r="C73" i="20"/>
  <c r="C74" i="20"/>
  <c r="C75" i="20"/>
  <c r="C76" i="20"/>
  <c r="C77" i="20"/>
  <c r="C78" i="20"/>
  <c r="C79" i="20"/>
  <c r="C80" i="20"/>
  <c r="C81" i="20"/>
  <c r="C82" i="20"/>
  <c r="C83" i="20"/>
  <c r="C84" i="20"/>
  <c r="C85" i="20"/>
  <c r="C86" i="20"/>
  <c r="C87" i="20"/>
  <c r="C88" i="20"/>
  <c r="C89" i="20"/>
  <c r="C90" i="20"/>
  <c r="C91" i="20"/>
  <c r="C92" i="20"/>
  <c r="C93" i="20"/>
  <c r="C94" i="20"/>
  <c r="C95" i="20"/>
  <c r="C96" i="20"/>
  <c r="C97" i="20"/>
  <c r="C98" i="20"/>
  <c r="C99" i="20"/>
  <c r="C100" i="20"/>
  <c r="C101" i="20"/>
  <c r="C102" i="20"/>
  <c r="C103" i="20"/>
  <c r="C104" i="20"/>
  <c r="C105" i="20"/>
  <c r="C106" i="20"/>
  <c r="C107" i="20"/>
  <c r="C108" i="20"/>
  <c r="C43" i="20"/>
  <c r="C29" i="20"/>
  <c r="C30" i="20"/>
  <c r="C31" i="20"/>
  <c r="C32" i="20"/>
  <c r="C33" i="20"/>
  <c r="C34" i="20"/>
  <c r="C35" i="20"/>
  <c r="C36" i="20"/>
  <c r="C37" i="20"/>
  <c r="C38" i="20"/>
  <c r="C39" i="20"/>
  <c r="C40" i="20"/>
  <c r="C41" i="20"/>
  <c r="C42" i="20"/>
  <c r="C28" i="20"/>
  <c r="C5" i="20"/>
  <c r="C6" i="20"/>
  <c r="C7" i="20"/>
  <c r="C8" i="20"/>
  <c r="C27" i="20"/>
  <c r="C3" i="20"/>
  <c r="C2" i="20"/>
  <c r="B29" i="20"/>
  <c r="B30" i="20"/>
  <c r="B31" i="20"/>
  <c r="B32" i="20"/>
  <c r="B33" i="20"/>
  <c r="B34" i="20"/>
  <c r="B35" i="20"/>
  <c r="B36" i="20"/>
  <c r="B37" i="20"/>
  <c r="B38" i="20"/>
  <c r="B39" i="20"/>
  <c r="B40" i="20"/>
  <c r="B41" i="20"/>
  <c r="B42" i="20"/>
  <c r="B28" i="20"/>
  <c r="A159" i="4"/>
  <c r="A160" i="4"/>
  <c r="A161" i="4"/>
  <c r="D150" i="4"/>
  <c r="D152" i="4"/>
  <c r="A43" i="20"/>
  <c r="A42" i="20"/>
  <c r="A41" i="20"/>
  <c r="A40" i="20"/>
  <c r="A39" i="20"/>
  <c r="A38" i="20"/>
  <c r="A37" i="20"/>
  <c r="A36" i="20"/>
  <c r="A35" i="20"/>
  <c r="A34" i="20"/>
  <c r="A33" i="20"/>
  <c r="A32" i="20"/>
  <c r="A31" i="20"/>
  <c r="A30" i="20"/>
  <c r="A29" i="20"/>
  <c r="A28" i="20"/>
  <c r="A3" i="20"/>
  <c r="F35" i="19"/>
  <c r="F36" i="19"/>
  <c r="F37" i="19"/>
  <c r="F38" i="19"/>
  <c r="F39" i="19"/>
  <c r="F40" i="19"/>
  <c r="F41" i="19"/>
  <c r="F42" i="19"/>
  <c r="F43" i="19"/>
  <c r="F44" i="19"/>
  <c r="F45" i="19"/>
  <c r="F46" i="19"/>
  <c r="F47" i="19"/>
  <c r="F48" i="19"/>
  <c r="F34" i="19"/>
  <c r="A35" i="19"/>
  <c r="A36" i="19"/>
  <c r="A37" i="19"/>
  <c r="A38" i="19"/>
  <c r="A39" i="19"/>
  <c r="A40" i="19"/>
  <c r="A41" i="19"/>
  <c r="A42" i="19"/>
  <c r="A43" i="19"/>
  <c r="A44" i="19"/>
  <c r="A45" i="19"/>
  <c r="A46" i="19"/>
  <c r="A47" i="19"/>
  <c r="A48" i="19"/>
  <c r="A34" i="19"/>
  <c r="B52" i="19"/>
  <c r="H9" i="13"/>
  <c r="E173" i="4" s="1"/>
  <c r="B133" i="4"/>
  <c r="B134" i="4"/>
  <c r="B135" i="4"/>
  <c r="A40" i="12"/>
  <c r="W35" i="13"/>
  <c r="V35" i="13"/>
  <c r="U35" i="13"/>
  <c r="T35" i="13"/>
  <c r="S35" i="13"/>
  <c r="R35" i="13"/>
  <c r="Q35" i="13"/>
  <c r="P35" i="13"/>
  <c r="O35" i="13"/>
  <c r="N35" i="13"/>
  <c r="M35" i="13"/>
  <c r="L35" i="13"/>
  <c r="W34" i="13"/>
  <c r="V34" i="13"/>
  <c r="U34" i="13"/>
  <c r="T34" i="13"/>
  <c r="S34" i="13"/>
  <c r="R34" i="13"/>
  <c r="Q34" i="13"/>
  <c r="P34" i="13"/>
  <c r="O34" i="13"/>
  <c r="N34" i="13"/>
  <c r="M34" i="13"/>
  <c r="L34" i="13"/>
  <c r="W33" i="13"/>
  <c r="V33" i="13"/>
  <c r="U33" i="13"/>
  <c r="T33" i="13"/>
  <c r="S33" i="13"/>
  <c r="R33" i="13"/>
  <c r="Q33" i="13"/>
  <c r="P33" i="13"/>
  <c r="O33" i="13"/>
  <c r="N33" i="13"/>
  <c r="M33" i="13"/>
  <c r="L33" i="13"/>
  <c r="W32" i="13"/>
  <c r="V32" i="13"/>
  <c r="U32" i="13"/>
  <c r="T32" i="13"/>
  <c r="S32" i="13"/>
  <c r="R32" i="13"/>
  <c r="Q32" i="13"/>
  <c r="P32" i="13"/>
  <c r="O32" i="13"/>
  <c r="N32" i="13"/>
  <c r="M32" i="13"/>
  <c r="L32" i="13"/>
  <c r="W31" i="13"/>
  <c r="V31" i="13"/>
  <c r="U31" i="13"/>
  <c r="T31" i="13"/>
  <c r="S31" i="13"/>
  <c r="R31" i="13"/>
  <c r="Q31" i="13"/>
  <c r="P31" i="13"/>
  <c r="O31" i="13"/>
  <c r="N31" i="13"/>
  <c r="M31" i="13"/>
  <c r="L31" i="13"/>
  <c r="W30" i="13"/>
  <c r="M77" i="12" s="1"/>
  <c r="V30" i="13"/>
  <c r="L77" i="12" s="1"/>
  <c r="U30" i="13"/>
  <c r="T30" i="13"/>
  <c r="S30" i="13"/>
  <c r="R30" i="13"/>
  <c r="Q30" i="13"/>
  <c r="G77" i="12" s="1"/>
  <c r="P30" i="13"/>
  <c r="O30" i="13"/>
  <c r="N30" i="13"/>
  <c r="M30" i="13"/>
  <c r="L30" i="13"/>
  <c r="W24" i="13"/>
  <c r="V24" i="13"/>
  <c r="U24" i="13"/>
  <c r="T24" i="13"/>
  <c r="S24" i="13"/>
  <c r="R24" i="13"/>
  <c r="Q24" i="13"/>
  <c r="P24" i="13"/>
  <c r="O24" i="13"/>
  <c r="N24" i="13"/>
  <c r="M24" i="13"/>
  <c r="L24" i="13"/>
  <c r="W23" i="13"/>
  <c r="V23" i="13"/>
  <c r="U23" i="13"/>
  <c r="T23" i="13"/>
  <c r="S23" i="13"/>
  <c r="R23" i="13"/>
  <c r="Q23" i="13"/>
  <c r="P23" i="13"/>
  <c r="O23" i="13"/>
  <c r="N23" i="13"/>
  <c r="M23" i="13"/>
  <c r="L23" i="13"/>
  <c r="W22" i="13"/>
  <c r="V22" i="13"/>
  <c r="U22" i="13"/>
  <c r="T22" i="13"/>
  <c r="S22" i="13"/>
  <c r="R22" i="13"/>
  <c r="Q22" i="13"/>
  <c r="P22" i="13"/>
  <c r="O22" i="13"/>
  <c r="N22" i="13"/>
  <c r="M22" i="13"/>
  <c r="L22" i="13"/>
  <c r="W20" i="13"/>
  <c r="V20" i="13"/>
  <c r="U20" i="13"/>
  <c r="T20" i="13"/>
  <c r="S20" i="13"/>
  <c r="R20" i="13"/>
  <c r="Q20" i="13"/>
  <c r="P20" i="13"/>
  <c r="O20" i="13"/>
  <c r="N20" i="13"/>
  <c r="M20" i="13"/>
  <c r="L20" i="13"/>
  <c r="W19" i="13"/>
  <c r="V19" i="13"/>
  <c r="U19" i="13"/>
  <c r="T19" i="13"/>
  <c r="S19" i="13"/>
  <c r="R19" i="13"/>
  <c r="Q19" i="13"/>
  <c r="P19" i="13"/>
  <c r="O19" i="13"/>
  <c r="N19" i="13"/>
  <c r="M19" i="13"/>
  <c r="L19" i="13"/>
  <c r="W18" i="13"/>
  <c r="M34" i="12" s="1"/>
  <c r="V18" i="13"/>
  <c r="L34" i="12" s="1"/>
  <c r="U18" i="13"/>
  <c r="T18" i="13"/>
  <c r="S18" i="13"/>
  <c r="I34" i="12" s="1"/>
  <c r="R18" i="13"/>
  <c r="Q18" i="13"/>
  <c r="G34" i="12" s="1"/>
  <c r="P18" i="13"/>
  <c r="O18" i="13"/>
  <c r="N18" i="13"/>
  <c r="M18" i="13"/>
  <c r="L18" i="13"/>
  <c r="X35" i="13"/>
  <c r="X34" i="13"/>
  <c r="X33" i="13"/>
  <c r="X32" i="13"/>
  <c r="X31" i="13"/>
  <c r="X30" i="13"/>
  <c r="X24" i="13"/>
  <c r="X23" i="13"/>
  <c r="X22" i="13"/>
  <c r="X20" i="13"/>
  <c r="X19" i="13"/>
  <c r="U10" i="2"/>
  <c r="U11" i="2"/>
  <c r="U12" i="2"/>
  <c r="U13" i="2"/>
  <c r="U14" i="2"/>
  <c r="U15" i="2"/>
  <c r="U16" i="2"/>
  <c r="U17" i="2"/>
  <c r="U19" i="2"/>
  <c r="U20" i="2"/>
  <c r="U21" i="2"/>
  <c r="U22" i="2"/>
  <c r="U23" i="2"/>
  <c r="U24" i="2"/>
  <c r="U26" i="2"/>
  <c r="U27" i="2"/>
  <c r="U28" i="2"/>
  <c r="U29" i="2"/>
  <c r="U30" i="2"/>
  <c r="U31" i="2"/>
  <c r="U32" i="2"/>
  <c r="U33" i="2"/>
  <c r="U34" i="2"/>
  <c r="U36" i="2"/>
  <c r="U37" i="2"/>
  <c r="U38" i="2"/>
  <c r="U39" i="2"/>
  <c r="U40"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7" i="2"/>
  <c r="U78" i="2"/>
  <c r="U79" i="2"/>
  <c r="U80" i="2"/>
  <c r="U81" i="2"/>
  <c r="U83" i="2"/>
  <c r="U84" i="2"/>
  <c r="U85" i="2"/>
  <c r="U86" i="2"/>
  <c r="U87" i="2"/>
  <c r="U88" i="2"/>
  <c r="U89" i="2"/>
  <c r="U90" i="2"/>
  <c r="U91" i="2"/>
  <c r="U92" i="2"/>
  <c r="U93" i="2"/>
  <c r="U94" i="2"/>
  <c r="U96" i="2"/>
  <c r="U97" i="2"/>
  <c r="U98" i="2"/>
  <c r="U99" i="2"/>
  <c r="U100" i="2"/>
  <c r="U101" i="2"/>
  <c r="U102" i="2"/>
  <c r="U103" i="2"/>
  <c r="U104" i="2"/>
  <c r="U106" i="2"/>
  <c r="U107" i="2"/>
  <c r="U108" i="2"/>
  <c r="U109" i="2"/>
  <c r="U110" i="2"/>
  <c r="U112" i="2"/>
  <c r="U113" i="2"/>
  <c r="U114" i="2"/>
  <c r="U115" i="2"/>
  <c r="U116" i="2"/>
  <c r="U117" i="2"/>
  <c r="U118" i="2"/>
  <c r="U119" i="2"/>
  <c r="U121" i="2"/>
  <c r="U122" i="2"/>
  <c r="U123" i="2"/>
  <c r="U124" i="2"/>
  <c r="U126" i="2"/>
  <c r="U127" i="2"/>
  <c r="U128" i="2"/>
  <c r="U129" i="2"/>
  <c r="U130" i="2"/>
  <c r="U131" i="2"/>
  <c r="U132" i="2"/>
  <c r="U133" i="2"/>
  <c r="U134" i="2"/>
  <c r="U135" i="2"/>
  <c r="U136" i="2"/>
  <c r="U137" i="2"/>
  <c r="U138" i="2"/>
  <c r="U140" i="2"/>
  <c r="U141" i="2"/>
  <c r="U142" i="2"/>
  <c r="U143" i="2"/>
  <c r="U145" i="2"/>
  <c r="U146" i="2"/>
  <c r="U147" i="2"/>
  <c r="U148" i="2"/>
  <c r="U150" i="2"/>
  <c r="U151" i="2"/>
  <c r="U152" i="2"/>
  <c r="U153" i="2"/>
  <c r="U155" i="2"/>
  <c r="U156" i="2"/>
  <c r="U157" i="2"/>
  <c r="U158" i="2"/>
  <c r="U160" i="2"/>
  <c r="U161" i="2"/>
  <c r="U162" i="2"/>
  <c r="U163" i="2"/>
  <c r="U165" i="2"/>
  <c r="U166" i="2"/>
  <c r="U167" i="2"/>
  <c r="U168" i="2"/>
  <c r="U170" i="2"/>
  <c r="U171" i="2"/>
  <c r="U172" i="2"/>
  <c r="U173" i="2"/>
  <c r="U175" i="2"/>
  <c r="U176" i="2"/>
  <c r="U177" i="2"/>
  <c r="U178" i="2"/>
  <c r="U180" i="2"/>
  <c r="U181" i="2"/>
  <c r="U182" i="2"/>
  <c r="U183" i="2"/>
  <c r="U184" i="2"/>
  <c r="U186" i="2"/>
  <c r="U187" i="2"/>
  <c r="U188" i="2"/>
  <c r="U189" i="2"/>
  <c r="U190" i="2"/>
  <c r="U191" i="2"/>
  <c r="U192" i="2"/>
  <c r="U193" i="2"/>
  <c r="U194" i="2"/>
  <c r="U195" i="2"/>
  <c r="U196" i="2"/>
  <c r="U197" i="2"/>
  <c r="I199" i="2"/>
  <c r="J199" i="2"/>
  <c r="K199" i="2"/>
  <c r="L199" i="2"/>
  <c r="M199" i="2"/>
  <c r="N199" i="2"/>
  <c r="O199" i="2"/>
  <c r="P199" i="2"/>
  <c r="Q199" i="2"/>
  <c r="R199" i="2"/>
  <c r="S199" i="2"/>
  <c r="T199" i="2"/>
  <c r="U199" i="2"/>
  <c r="I200" i="2"/>
  <c r="J200" i="2"/>
  <c r="K200" i="2"/>
  <c r="L200" i="2"/>
  <c r="M200" i="2"/>
  <c r="N200" i="2"/>
  <c r="O200" i="2"/>
  <c r="P200" i="2"/>
  <c r="Q200" i="2"/>
  <c r="R200" i="2"/>
  <c r="S200" i="2"/>
  <c r="T200" i="2"/>
  <c r="U200" i="2"/>
  <c r="I201" i="2"/>
  <c r="J201" i="2"/>
  <c r="K201" i="2"/>
  <c r="L201" i="2"/>
  <c r="M201" i="2"/>
  <c r="N201" i="2"/>
  <c r="O201" i="2"/>
  <c r="P201" i="2"/>
  <c r="Q201" i="2"/>
  <c r="R201" i="2"/>
  <c r="S201" i="2"/>
  <c r="T201" i="2"/>
  <c r="U201" i="2"/>
  <c r="I202" i="2"/>
  <c r="J202" i="2"/>
  <c r="K202" i="2"/>
  <c r="L202" i="2"/>
  <c r="M202" i="2"/>
  <c r="N202" i="2"/>
  <c r="O202" i="2"/>
  <c r="P202" i="2"/>
  <c r="Q202" i="2"/>
  <c r="R202" i="2"/>
  <c r="S202" i="2"/>
  <c r="T202" i="2"/>
  <c r="U202" i="2"/>
  <c r="I203" i="2"/>
  <c r="J203" i="2"/>
  <c r="K203" i="2"/>
  <c r="L203" i="2"/>
  <c r="M203" i="2"/>
  <c r="N203" i="2"/>
  <c r="O203" i="2"/>
  <c r="P203" i="2"/>
  <c r="Q203" i="2"/>
  <c r="R203" i="2"/>
  <c r="S203" i="2"/>
  <c r="T203" i="2"/>
  <c r="U203" i="2"/>
  <c r="U205" i="2"/>
  <c r="U206" i="2"/>
  <c r="U207" i="2"/>
  <c r="U208" i="2"/>
  <c r="U209" i="2"/>
  <c r="U210" i="2"/>
  <c r="U212" i="2"/>
  <c r="U213" i="2"/>
  <c r="U214" i="2"/>
  <c r="U215" i="2"/>
  <c r="U216" i="2"/>
  <c r="U217" i="2"/>
  <c r="U218" i="2"/>
  <c r="U219" i="2"/>
  <c r="U220" i="2"/>
  <c r="U221" i="2"/>
  <c r="U222" i="2"/>
  <c r="U224" i="2"/>
  <c r="U225" i="2"/>
  <c r="U226" i="2"/>
  <c r="U227" i="2"/>
  <c r="U229" i="2"/>
  <c r="U230" i="2"/>
  <c r="U231" i="2"/>
  <c r="U233" i="2"/>
  <c r="U234" i="2"/>
  <c r="U236" i="2"/>
  <c r="U237" i="2"/>
  <c r="U239" i="2"/>
  <c r="U240" i="2"/>
  <c r="U241" i="2"/>
  <c r="U242" i="2"/>
  <c r="U244" i="2"/>
  <c r="U245" i="2"/>
  <c r="U246" i="2"/>
  <c r="U247" i="2"/>
  <c r="U249" i="2"/>
  <c r="U250" i="2"/>
  <c r="U251" i="2"/>
  <c r="U252" i="2"/>
  <c r="U254" i="2"/>
  <c r="U255" i="2"/>
  <c r="U256" i="2"/>
  <c r="U257" i="2"/>
  <c r="U259" i="2"/>
  <c r="U260" i="2"/>
  <c r="U261" i="2"/>
  <c r="U262" i="2"/>
  <c r="U264" i="2"/>
  <c r="U265" i="2"/>
  <c r="U266" i="2"/>
  <c r="U267" i="2"/>
  <c r="U269" i="2"/>
  <c r="U270" i="2"/>
  <c r="U271" i="2"/>
  <c r="U272" i="2"/>
  <c r="U273" i="2"/>
  <c r="U274" i="2"/>
  <c r="U275" i="2"/>
  <c r="U276" i="2"/>
  <c r="U277" i="2"/>
  <c r="U278" i="2"/>
  <c r="U280" i="2"/>
  <c r="U281" i="2"/>
  <c r="U282" i="2"/>
  <c r="U283" i="2"/>
  <c r="U285" i="2"/>
  <c r="U286" i="2"/>
  <c r="U287" i="2"/>
  <c r="U288" i="2"/>
  <c r="U290" i="2"/>
  <c r="U291" i="2"/>
  <c r="U292" i="2"/>
  <c r="U293" i="2"/>
  <c r="U295" i="2"/>
  <c r="U296" i="2"/>
  <c r="U297" i="2"/>
  <c r="U298" i="2"/>
  <c r="U300" i="2"/>
  <c r="U301" i="2"/>
  <c r="U302" i="2"/>
  <c r="U303" i="2"/>
  <c r="U305" i="2"/>
  <c r="U306" i="2"/>
  <c r="U307" i="2"/>
  <c r="U308" i="2"/>
  <c r="U325" i="2"/>
  <c r="U326" i="2"/>
  <c r="U327" i="2"/>
  <c r="U328" i="2"/>
  <c r="U330" i="2"/>
  <c r="U331" i="2"/>
  <c r="U332" i="2"/>
  <c r="U333" i="2"/>
  <c r="U335" i="2"/>
  <c r="U336" i="2"/>
  <c r="U337" i="2"/>
  <c r="U338" i="2"/>
  <c r="U340" i="2"/>
  <c r="U341" i="2"/>
  <c r="U342" i="2"/>
  <c r="U343" i="2"/>
  <c r="U345" i="2"/>
  <c r="U346" i="2"/>
  <c r="U347" i="2"/>
  <c r="U348" i="2"/>
  <c r="U349" i="2"/>
  <c r="U350" i="2"/>
  <c r="U351" i="2"/>
  <c r="U352" i="2"/>
  <c r="U353" i="2"/>
  <c r="U354" i="2"/>
  <c r="U355" i="2"/>
  <c r="U356" i="2"/>
  <c r="U357" i="2"/>
  <c r="U358" i="2"/>
  <c r="U359" i="2"/>
  <c r="U360" i="2"/>
  <c r="U361" i="2"/>
  <c r="U363" i="2"/>
  <c r="U364" i="2"/>
  <c r="U365" i="2"/>
  <c r="U366" i="2"/>
  <c r="U368" i="2"/>
  <c r="U369" i="2"/>
  <c r="U370" i="2"/>
  <c r="U371" i="2"/>
  <c r="U372" i="2"/>
  <c r="U374" i="2"/>
  <c r="U375" i="2"/>
  <c r="U376" i="2"/>
  <c r="U377" i="2"/>
  <c r="U379" i="2"/>
  <c r="U380" i="2"/>
  <c r="U381" i="2"/>
  <c r="U382" i="2"/>
  <c r="U399" i="2"/>
  <c r="U400" i="2"/>
  <c r="U401" i="2"/>
  <c r="U402" i="2"/>
  <c r="U404" i="2"/>
  <c r="U405" i="2"/>
  <c r="U406" i="2"/>
  <c r="U407" i="2"/>
  <c r="U408" i="2"/>
  <c r="U409" i="2"/>
  <c r="U410" i="2"/>
  <c r="U422" i="2"/>
  <c r="U423" i="2"/>
  <c r="U425" i="2"/>
  <c r="U426" i="2"/>
  <c r="U427" i="2"/>
  <c r="U429" i="2"/>
  <c r="U431" i="2"/>
  <c r="U432" i="2"/>
  <c r="U433" i="2"/>
  <c r="U434" i="2"/>
  <c r="U435" i="2"/>
  <c r="U436" i="2"/>
  <c r="U438" i="2"/>
  <c r="U439" i="2"/>
  <c r="U441" i="2"/>
  <c r="U442" i="2"/>
  <c r="U443" i="2"/>
  <c r="U444" i="2"/>
  <c r="U445" i="2"/>
  <c r="U446" i="2"/>
  <c r="U447" i="2"/>
  <c r="U448" i="2"/>
  <c r="U449" i="2"/>
  <c r="U450" i="2"/>
  <c r="U457" i="2"/>
  <c r="U458" i="2"/>
  <c r="U459" i="2"/>
  <c r="U460" i="2"/>
  <c r="U462" i="2"/>
  <c r="U463" i="2"/>
  <c r="U464" i="2"/>
  <c r="U465" i="2"/>
  <c r="U467" i="2"/>
  <c r="U468" i="2"/>
  <c r="U469" i="2"/>
  <c r="U470" i="2"/>
  <c r="U472" i="2"/>
  <c r="U473" i="2"/>
  <c r="U474" i="2"/>
  <c r="U475" i="2"/>
  <c r="U477" i="2"/>
  <c r="U478" i="2"/>
  <c r="U479" i="2"/>
  <c r="U480" i="2"/>
  <c r="U482" i="2"/>
  <c r="U483" i="2"/>
  <c r="U484" i="2"/>
  <c r="U485" i="2"/>
  <c r="U487" i="2"/>
  <c r="U488" i="2"/>
  <c r="U489" i="2"/>
  <c r="U490" i="2"/>
  <c r="U492" i="2"/>
  <c r="U493" i="2"/>
  <c r="U494" i="2"/>
  <c r="U495" i="2"/>
  <c r="U497" i="2"/>
  <c r="U498" i="2"/>
  <c r="U499" i="2"/>
  <c r="U500" i="2"/>
  <c r="W35" i="2"/>
  <c r="W41" i="2"/>
  <c r="W76" i="2"/>
  <c r="W82" i="2"/>
  <c r="W95" i="2"/>
  <c r="W105" i="2"/>
  <c r="W111" i="2"/>
  <c r="W120" i="2"/>
  <c r="W125" i="2"/>
  <c r="W139" i="2"/>
  <c r="W144" i="2"/>
  <c r="W149" i="2"/>
  <c r="W154" i="2"/>
  <c r="W159" i="2"/>
  <c r="W164" i="2"/>
  <c r="W169" i="2"/>
  <c r="W174" i="2"/>
  <c r="W179" i="2"/>
  <c r="W185" i="2"/>
  <c r="W198" i="2"/>
  <c r="W204" i="2"/>
  <c r="W211" i="2"/>
  <c r="W223" i="2"/>
  <c r="W228" i="2"/>
  <c r="W232" i="2"/>
  <c r="W235" i="2"/>
  <c r="W238" i="2"/>
  <c r="W243" i="2"/>
  <c r="W248" i="2"/>
  <c r="W253" i="2"/>
  <c r="W258" i="2"/>
  <c r="W263" i="2"/>
  <c r="W268" i="2"/>
  <c r="W279" i="2"/>
  <c r="W284" i="2"/>
  <c r="W289" i="2"/>
  <c r="W294" i="2"/>
  <c r="W299" i="2"/>
  <c r="W304" i="2"/>
  <c r="W309" i="2"/>
  <c r="W329" i="2"/>
  <c r="W334" i="2"/>
  <c r="W339" i="2"/>
  <c r="W344" i="2"/>
  <c r="W428" i="2"/>
  <c r="T47" i="3"/>
  <c r="T48" i="3"/>
  <c r="U48" i="3" s="1"/>
  <c r="T49" i="3"/>
  <c r="T50" i="3"/>
  <c r="T51" i="3"/>
  <c r="T52" i="3"/>
  <c r="T53" i="3"/>
  <c r="T54" i="3"/>
  <c r="V54" i="3" s="1"/>
  <c r="T55" i="3"/>
  <c r="T56" i="3"/>
  <c r="U56" i="3" s="1"/>
  <c r="T57" i="3"/>
  <c r="T58" i="3"/>
  <c r="T59" i="3"/>
  <c r="V59" i="3" s="1"/>
  <c r="T60" i="3"/>
  <c r="V60" i="3" s="1"/>
  <c r="T61" i="3"/>
  <c r="W12" i="13"/>
  <c r="V12" i="13"/>
  <c r="U12" i="13"/>
  <c r="T12" i="13"/>
  <c r="S12" i="13"/>
  <c r="R12" i="13"/>
  <c r="Q12" i="13"/>
  <c r="P12" i="13"/>
  <c r="O12" i="13"/>
  <c r="N12" i="13"/>
  <c r="M12" i="13"/>
  <c r="L12" i="13"/>
  <c r="N40" i="12"/>
  <c r="S4" i="3"/>
  <c r="R4" i="3"/>
  <c r="Q4" i="3"/>
  <c r="P4" i="3"/>
  <c r="O4" i="3"/>
  <c r="N4" i="3"/>
  <c r="M4" i="3"/>
  <c r="L4" i="3"/>
  <c r="K4" i="3"/>
  <c r="J4" i="3"/>
  <c r="I4" i="3"/>
  <c r="H4" i="3"/>
  <c r="N53" i="12"/>
  <c r="N35" i="12"/>
  <c r="N36" i="12"/>
  <c r="N37" i="12"/>
  <c r="N38" i="12"/>
  <c r="N39" i="12"/>
  <c r="N41" i="12"/>
  <c r="N42" i="12"/>
  <c r="N43" i="12"/>
  <c r="N44" i="12"/>
  <c r="N45" i="12"/>
  <c r="N46" i="12"/>
  <c r="N47" i="12"/>
  <c r="N48" i="12"/>
  <c r="N49" i="12"/>
  <c r="N9" i="12"/>
  <c r="T4" i="2"/>
  <c r="S4" i="2"/>
  <c r="R4" i="2"/>
  <c r="Q4" i="2"/>
  <c r="P4" i="2"/>
  <c r="O4" i="2"/>
  <c r="N4" i="2"/>
  <c r="M4" i="2"/>
  <c r="L4" i="2"/>
  <c r="K4" i="2"/>
  <c r="J4" i="2"/>
  <c r="I4" i="2"/>
  <c r="B137" i="4"/>
  <c r="E137" i="4"/>
  <c r="B138" i="4"/>
  <c r="E138" i="4"/>
  <c r="B139" i="4"/>
  <c r="E139" i="4"/>
  <c r="B140" i="4"/>
  <c r="E140" i="4"/>
  <c r="E136" i="4"/>
  <c r="B136" i="4"/>
  <c r="B128" i="4"/>
  <c r="E128" i="4"/>
  <c r="B129" i="4"/>
  <c r="E129" i="4"/>
  <c r="B130" i="4"/>
  <c r="E130" i="4"/>
  <c r="B127" i="4"/>
  <c r="E61" i="3"/>
  <c r="E573" i="2"/>
  <c r="E133" i="4"/>
  <c r="E135" i="4"/>
  <c r="A42" i="12"/>
  <c r="A43" i="12"/>
  <c r="A44" i="12"/>
  <c r="A45" i="12"/>
  <c r="A46" i="12"/>
  <c r="A47" i="12"/>
  <c r="A48" i="12"/>
  <c r="A49" i="12"/>
  <c r="A41" i="12"/>
  <c r="A38" i="12"/>
  <c r="A39" i="12"/>
  <c r="A36" i="12"/>
  <c r="A35" i="12"/>
  <c r="R10" i="12"/>
  <c r="R11" i="12"/>
  <c r="R12" i="12"/>
  <c r="R13" i="12"/>
  <c r="R14" i="12"/>
  <c r="R15" i="12"/>
  <c r="R16" i="12"/>
  <c r="R17" i="12"/>
  <c r="R18" i="12"/>
  <c r="R19" i="12"/>
  <c r="R20" i="12"/>
  <c r="R34" i="12"/>
  <c r="R35" i="12"/>
  <c r="R36" i="12"/>
  <c r="R37" i="12"/>
  <c r="R38" i="12"/>
  <c r="R39" i="12"/>
  <c r="R41" i="12"/>
  <c r="R42" i="12"/>
  <c r="R43" i="12"/>
  <c r="R44" i="12"/>
  <c r="R45" i="12"/>
  <c r="R46" i="12"/>
  <c r="R47" i="12"/>
  <c r="R48" i="12"/>
  <c r="R49" i="12"/>
  <c r="R50" i="12"/>
  <c r="R51" i="12"/>
  <c r="R52" i="12"/>
  <c r="R54" i="12"/>
  <c r="R55" i="12"/>
  <c r="R56" i="12"/>
  <c r="R57" i="12"/>
  <c r="R85" i="12"/>
  <c r="R86" i="12"/>
  <c r="R87" i="12"/>
  <c r="R88" i="12"/>
  <c r="R89" i="12"/>
  <c r="R90" i="12"/>
  <c r="R94" i="12"/>
  <c r="R95" i="12"/>
  <c r="R96" i="12"/>
  <c r="R97" i="12"/>
  <c r="R101" i="12"/>
  <c r="R102" i="12"/>
  <c r="R103" i="12"/>
  <c r="R104" i="12"/>
  <c r="R105" i="12"/>
  <c r="R106" i="12"/>
  <c r="R107" i="12"/>
  <c r="R108" i="12"/>
  <c r="R109" i="12"/>
  <c r="R113" i="12"/>
  <c r="R114" i="12"/>
  <c r="R115" i="12"/>
  <c r="R116" i="12"/>
  <c r="R117" i="12"/>
  <c r="R118" i="12"/>
  <c r="R119" i="12"/>
  <c r="R120" i="12"/>
  <c r="R121" i="12"/>
  <c r="R122" i="12"/>
  <c r="R123" i="12"/>
  <c r="R129" i="12"/>
  <c r="R130" i="12"/>
  <c r="R131" i="12"/>
  <c r="R132" i="12"/>
  <c r="R133" i="12"/>
  <c r="R134" i="12"/>
  <c r="R138" i="12"/>
  <c r="E167" i="4"/>
  <c r="N64" i="12"/>
  <c r="N89" i="12"/>
  <c r="K47" i="12"/>
  <c r="I32" i="12"/>
  <c r="I24" i="12"/>
  <c r="H117" i="12"/>
  <c r="H21" i="13"/>
  <c r="E169" i="4" s="1"/>
  <c r="U41" i="3"/>
  <c r="U33" i="3"/>
  <c r="K117" i="12"/>
  <c r="N120" i="12"/>
  <c r="N95" i="12"/>
  <c r="E89" i="4"/>
  <c r="B27" i="12"/>
  <c r="C117" i="12"/>
  <c r="D70" i="12"/>
  <c r="I17" i="12"/>
  <c r="B132" i="20"/>
  <c r="D143" i="19"/>
  <c r="D34" i="12"/>
  <c r="N121" i="12"/>
  <c r="N59" i="12"/>
  <c r="C56" i="12"/>
  <c r="U58" i="3"/>
  <c r="C28" i="12"/>
  <c r="L32" i="12"/>
  <c r="B61" i="4"/>
  <c r="D89" i="12"/>
  <c r="T23" i="3"/>
  <c r="V23" i="3" s="1"/>
  <c r="D9" i="4"/>
  <c r="N13" i="12"/>
  <c r="F12" i="19"/>
  <c r="D151" i="4"/>
  <c r="B100" i="12" l="1"/>
  <c r="B64" i="12"/>
  <c r="D83" i="12"/>
  <c r="B62" i="12"/>
  <c r="B55" i="12"/>
  <c r="I79" i="4"/>
  <c r="F79" i="4" s="1"/>
  <c r="I75" i="4"/>
  <c r="V52" i="3"/>
  <c r="U51" i="3"/>
  <c r="V51" i="3"/>
  <c r="I43" i="4"/>
  <c r="F43" i="4" s="1"/>
  <c r="I35" i="4"/>
  <c r="F35" i="4" s="1"/>
  <c r="I45" i="4"/>
  <c r="I41" i="4"/>
  <c r="F41" i="4" s="1"/>
  <c r="I37" i="4"/>
  <c r="F37" i="4" s="1"/>
  <c r="I29" i="4"/>
  <c r="F29" i="4" s="1"/>
  <c r="I25" i="4"/>
  <c r="F25" i="4" s="1"/>
  <c r="I21" i="4"/>
  <c r="F21" i="4" s="1"/>
  <c r="I17" i="4"/>
  <c r="F17" i="4" s="1"/>
  <c r="I39" i="4"/>
  <c r="F39" i="4" s="1"/>
  <c r="B92" i="12"/>
  <c r="F55" i="19"/>
  <c r="F101" i="4"/>
  <c r="F96" i="19"/>
  <c r="B84" i="20"/>
  <c r="F81" i="4"/>
  <c r="B64" i="20"/>
  <c r="F76" i="19"/>
  <c r="F56" i="19"/>
  <c r="B44" i="20"/>
  <c r="M76" i="12"/>
  <c r="F103" i="19"/>
  <c r="B91" i="20"/>
  <c r="F68" i="19"/>
  <c r="B56" i="20"/>
  <c r="L76" i="12"/>
  <c r="B114" i="20"/>
  <c r="F126" i="19"/>
  <c r="B110" i="20"/>
  <c r="F122" i="19"/>
  <c r="B105" i="20"/>
  <c r="F117" i="19"/>
  <c r="B101" i="20"/>
  <c r="F113" i="19"/>
  <c r="B94" i="20"/>
  <c r="F106" i="19"/>
  <c r="B79" i="20"/>
  <c r="F91" i="19"/>
  <c r="B67" i="20"/>
  <c r="F79" i="19"/>
  <c r="B63" i="20"/>
  <c r="F75" i="19"/>
  <c r="B59" i="20"/>
  <c r="F71" i="19"/>
  <c r="B50" i="20"/>
  <c r="F62" i="19"/>
  <c r="L112" i="12"/>
  <c r="K141" i="12"/>
  <c r="K140" i="12"/>
  <c r="K139" i="12"/>
  <c r="J81" i="12"/>
  <c r="I112" i="12"/>
  <c r="H112" i="12"/>
  <c r="G116" i="12"/>
  <c r="G114" i="12"/>
  <c r="G83" i="12"/>
  <c r="F63" i="12"/>
  <c r="E141" i="12"/>
  <c r="E140" i="12"/>
  <c r="E139" i="12"/>
  <c r="E117" i="12"/>
  <c r="D112" i="12"/>
  <c r="C112" i="12"/>
  <c r="B141" i="12"/>
  <c r="B140" i="12"/>
  <c r="B139" i="12"/>
  <c r="F72" i="4"/>
  <c r="B55" i="20"/>
  <c r="F67" i="19"/>
  <c r="E76" i="12"/>
  <c r="B106" i="20"/>
  <c r="F118" i="19"/>
  <c r="B47" i="20"/>
  <c r="F59" i="19"/>
  <c r="D76" i="12"/>
  <c r="V56" i="3"/>
  <c r="K76" i="12"/>
  <c r="G76" i="12"/>
  <c r="C76" i="12"/>
  <c r="B121" i="20"/>
  <c r="F133" i="19"/>
  <c r="B113" i="20"/>
  <c r="F125" i="19"/>
  <c r="B109" i="20"/>
  <c r="F121" i="19"/>
  <c r="E73" i="4"/>
  <c r="I73" i="4" s="1"/>
  <c r="N112" i="12"/>
  <c r="B89" i="20"/>
  <c r="F101" i="19"/>
  <c r="B82" i="20"/>
  <c r="F94" i="19"/>
  <c r="B78" i="20"/>
  <c r="F90" i="19"/>
  <c r="B74" i="20"/>
  <c r="F86" i="19"/>
  <c r="B70" i="20"/>
  <c r="F82" i="19"/>
  <c r="B62" i="20"/>
  <c r="F74" i="19"/>
  <c r="B58" i="20"/>
  <c r="F70" i="19"/>
  <c r="B53" i="20"/>
  <c r="F65" i="19"/>
  <c r="L141" i="12"/>
  <c r="L140" i="12"/>
  <c r="L139" i="12"/>
  <c r="L117" i="12"/>
  <c r="V122" i="2"/>
  <c r="V138" i="2"/>
  <c r="W98" i="2"/>
  <c r="J112" i="12"/>
  <c r="I141" i="12"/>
  <c r="I140" i="12"/>
  <c r="I139" i="12"/>
  <c r="H141" i="12"/>
  <c r="H140" i="12"/>
  <c r="H139" i="12"/>
  <c r="D141" i="12"/>
  <c r="D140" i="12"/>
  <c r="D139" i="12"/>
  <c r="C141" i="12"/>
  <c r="C140" i="12"/>
  <c r="C139" i="12"/>
  <c r="B103" i="12"/>
  <c r="I76" i="12"/>
  <c r="B102" i="20"/>
  <c r="F114" i="19"/>
  <c r="F80" i="19"/>
  <c r="B68" i="20"/>
  <c r="F128" i="19"/>
  <c r="B116" i="20"/>
  <c r="H76" i="12"/>
  <c r="U29" i="3"/>
  <c r="U52" i="3"/>
  <c r="E170" i="4"/>
  <c r="J76" i="12"/>
  <c r="F76" i="12"/>
  <c r="B76" i="12"/>
  <c r="F120" i="19"/>
  <c r="B108" i="20"/>
  <c r="F104" i="19"/>
  <c r="B92" i="20"/>
  <c r="F100" i="19"/>
  <c r="B88" i="20"/>
  <c r="F98" i="4"/>
  <c r="B81" i="20"/>
  <c r="F93" i="19"/>
  <c r="B69" i="20"/>
  <c r="F81" i="19"/>
  <c r="B82" i="4"/>
  <c r="N76" i="12"/>
  <c r="B48" i="20"/>
  <c r="F60" i="19"/>
  <c r="M112" i="12"/>
  <c r="J141" i="12"/>
  <c r="J140" i="12"/>
  <c r="J139" i="12"/>
  <c r="G112" i="12"/>
  <c r="F112" i="12"/>
  <c r="F87" i="4"/>
  <c r="F86" i="4"/>
  <c r="K104" i="12"/>
  <c r="B97" i="4"/>
  <c r="I97" i="4" s="1"/>
  <c r="L82" i="12"/>
  <c r="F75" i="4"/>
  <c r="F70" i="4"/>
  <c r="B154" i="4"/>
  <c r="F64" i="4"/>
  <c r="B62" i="4"/>
  <c r="B151" i="4" s="1"/>
  <c r="B150" i="4"/>
  <c r="B117" i="12"/>
  <c r="N113" i="12"/>
  <c r="N108" i="12"/>
  <c r="E69" i="4"/>
  <c r="I69" i="4" s="1"/>
  <c r="N107" i="12"/>
  <c r="E68" i="4"/>
  <c r="I68" i="4" s="1"/>
  <c r="N105" i="12"/>
  <c r="E66" i="4"/>
  <c r="E63" i="4"/>
  <c r="I63" i="4" s="1"/>
  <c r="B100" i="4"/>
  <c r="I100" i="4" s="1"/>
  <c r="B94" i="4"/>
  <c r="I94" i="4" s="1"/>
  <c r="N88" i="12"/>
  <c r="B93" i="4"/>
  <c r="B92" i="4"/>
  <c r="B90" i="4"/>
  <c r="B89" i="4"/>
  <c r="I89" i="4" s="1"/>
  <c r="B88" i="4"/>
  <c r="C82" i="12"/>
  <c r="N78" i="12"/>
  <c r="B83" i="4"/>
  <c r="B68" i="4"/>
  <c r="W402" i="2"/>
  <c r="N79" i="12"/>
  <c r="L132" i="12"/>
  <c r="L128" i="12"/>
  <c r="L125" i="12"/>
  <c r="L94" i="12"/>
  <c r="L93" i="12"/>
  <c r="K129" i="12"/>
  <c r="K114" i="12"/>
  <c r="K107" i="12"/>
  <c r="K93" i="12"/>
  <c r="K91" i="12"/>
  <c r="K61" i="12"/>
  <c r="J116" i="12"/>
  <c r="J82" i="12"/>
  <c r="I117" i="12"/>
  <c r="I82" i="12"/>
  <c r="G122" i="12"/>
  <c r="G107" i="12"/>
  <c r="G70" i="12"/>
  <c r="F118" i="12"/>
  <c r="F78" i="12"/>
  <c r="E114" i="12"/>
  <c r="V446" i="2"/>
  <c r="D95" i="12"/>
  <c r="N102" i="12"/>
  <c r="N114" i="12"/>
  <c r="N117" i="12"/>
  <c r="B102" i="12"/>
  <c r="B101" i="12"/>
  <c r="B90" i="12"/>
  <c r="W104" i="2"/>
  <c r="B54" i="12"/>
  <c r="L116" i="12"/>
  <c r="B77" i="4"/>
  <c r="I70" i="12"/>
  <c r="N85" i="12"/>
  <c r="N87" i="12"/>
  <c r="N125" i="12"/>
  <c r="N122" i="12"/>
  <c r="N81" i="12"/>
  <c r="F117" i="12"/>
  <c r="F82" i="12"/>
  <c r="J103" i="12"/>
  <c r="J102" i="12"/>
  <c r="J101" i="12"/>
  <c r="J100" i="12"/>
  <c r="J96" i="12"/>
  <c r="J95" i="12"/>
  <c r="J94" i="12"/>
  <c r="J93" i="12"/>
  <c r="J92" i="12"/>
  <c r="J91" i="12"/>
  <c r="J89" i="12"/>
  <c r="J87" i="12"/>
  <c r="J86" i="12"/>
  <c r="J85" i="12"/>
  <c r="J84" i="12"/>
  <c r="J80" i="12"/>
  <c r="J78" i="12"/>
  <c r="J70" i="12"/>
  <c r="J68" i="12"/>
  <c r="J64" i="12"/>
  <c r="J63" i="12"/>
  <c r="J62" i="12"/>
  <c r="J59" i="12"/>
  <c r="J57" i="12"/>
  <c r="J55" i="12"/>
  <c r="J54" i="12"/>
  <c r="I134" i="12"/>
  <c r="I130" i="12"/>
  <c r="I129" i="12"/>
  <c r="I128" i="12"/>
  <c r="I127" i="12"/>
  <c r="I126" i="12"/>
  <c r="I123" i="12"/>
  <c r="I122" i="12"/>
  <c r="I120" i="12"/>
  <c r="I116" i="12"/>
  <c r="I105" i="12"/>
  <c r="I101" i="12"/>
  <c r="I94" i="12"/>
  <c r="I89" i="12"/>
  <c r="I88" i="12"/>
  <c r="I87" i="12"/>
  <c r="I86" i="12"/>
  <c r="I64" i="12"/>
  <c r="I63" i="12"/>
  <c r="I62" i="12"/>
  <c r="I57" i="12"/>
  <c r="I56" i="12"/>
  <c r="I54" i="12"/>
  <c r="H130" i="12"/>
  <c r="H128" i="12"/>
  <c r="H126" i="12"/>
  <c r="H124" i="12"/>
  <c r="H122" i="12"/>
  <c r="H120" i="12"/>
  <c r="H116" i="12"/>
  <c r="H114" i="12"/>
  <c r="H108" i="12"/>
  <c r="H107" i="12"/>
  <c r="H106" i="12"/>
  <c r="H105" i="12"/>
  <c r="H102" i="12"/>
  <c r="H61" i="12"/>
  <c r="G128" i="12"/>
  <c r="E105" i="12"/>
  <c r="E82" i="12"/>
  <c r="E79" i="12"/>
  <c r="D117" i="12"/>
  <c r="W67" i="2"/>
  <c r="D55" i="12"/>
  <c r="C130" i="12"/>
  <c r="C124" i="12"/>
  <c r="C105" i="12"/>
  <c r="C91" i="12"/>
  <c r="W117" i="2"/>
  <c r="W108" i="2"/>
  <c r="V94" i="2"/>
  <c r="V570" i="2"/>
  <c r="B122" i="12"/>
  <c r="B114" i="12"/>
  <c r="N94" i="12"/>
  <c r="N74" i="12"/>
  <c r="B63" i="4"/>
  <c r="N57" i="12"/>
  <c r="J58" i="12"/>
  <c r="V407" i="2"/>
  <c r="V382" i="2"/>
  <c r="V368" i="2"/>
  <c r="V350" i="2"/>
  <c r="I65" i="12"/>
  <c r="V183" i="2"/>
  <c r="V86" i="2"/>
  <c r="W72" i="2"/>
  <c r="V44" i="2"/>
  <c r="W297" i="2"/>
  <c r="B94" i="12"/>
  <c r="B78" i="12"/>
  <c r="B65" i="12"/>
  <c r="B63" i="12"/>
  <c r="B61" i="12"/>
  <c r="B60" i="12"/>
  <c r="W73" i="2"/>
  <c r="V61" i="2"/>
  <c r="V53" i="2"/>
  <c r="W45" i="2"/>
  <c r="B56" i="12"/>
  <c r="V17" i="2"/>
  <c r="V117" i="2"/>
  <c r="I113" i="12"/>
  <c r="E76" i="4"/>
  <c r="I76" i="4" s="1"/>
  <c r="N115" i="12"/>
  <c r="N90" i="12"/>
  <c r="J65" i="12"/>
  <c r="J60" i="12"/>
  <c r="W372" i="2"/>
  <c r="H118" i="12"/>
  <c r="W251" i="2"/>
  <c r="W94" i="2"/>
  <c r="V68" i="2"/>
  <c r="C54" i="12"/>
  <c r="V12" i="2"/>
  <c r="W342" i="2"/>
  <c r="W307" i="2"/>
  <c r="N82" i="12"/>
  <c r="B71" i="4"/>
  <c r="N65" i="12"/>
  <c r="V517" i="2"/>
  <c r="I118" i="12"/>
  <c r="W427" i="2"/>
  <c r="I104" i="12"/>
  <c r="W187" i="2"/>
  <c r="V436" i="2"/>
  <c r="H104" i="12"/>
  <c r="W230" i="2"/>
  <c r="V178" i="2"/>
  <c r="V121" i="2"/>
  <c r="V296" i="2"/>
  <c r="V155" i="2"/>
  <c r="V52" i="2"/>
  <c r="B118" i="12"/>
  <c r="W68" i="2"/>
  <c r="N61" i="12"/>
  <c r="I103" i="12"/>
  <c r="I102" i="12"/>
  <c r="I100" i="12"/>
  <c r="I96" i="12"/>
  <c r="I95" i="12"/>
  <c r="I93" i="12"/>
  <c r="I92" i="12"/>
  <c r="I91" i="12"/>
  <c r="A67" i="19"/>
  <c r="N73" i="12"/>
  <c r="W497" i="2"/>
  <c r="M116" i="12"/>
  <c r="M113" i="12"/>
  <c r="M106" i="12"/>
  <c r="H103" i="12"/>
  <c r="H101" i="12"/>
  <c r="H100" i="12"/>
  <c r="H96" i="12"/>
  <c r="H93" i="12"/>
  <c r="V188" i="2"/>
  <c r="H74" i="12"/>
  <c r="V168" i="2"/>
  <c r="W134" i="2"/>
  <c r="H65" i="12"/>
  <c r="H64" i="12"/>
  <c r="V116" i="2"/>
  <c r="H62" i="12"/>
  <c r="W102" i="2"/>
  <c r="V89" i="2"/>
  <c r="W85" i="2"/>
  <c r="V80" i="2"/>
  <c r="V75" i="2"/>
  <c r="V67" i="2"/>
  <c r="H57" i="12"/>
  <c r="H56" i="12"/>
  <c r="H55" i="12"/>
  <c r="H54" i="12"/>
  <c r="G130" i="12"/>
  <c r="G127" i="12"/>
  <c r="G126" i="12"/>
  <c r="G125" i="12"/>
  <c r="G124" i="12"/>
  <c r="G123" i="12"/>
  <c r="V230" i="2"/>
  <c r="W407" i="2"/>
  <c r="W368" i="2"/>
  <c r="W363" i="2"/>
  <c r="L92" i="12"/>
  <c r="L91" i="12"/>
  <c r="V272" i="2"/>
  <c r="L89" i="12"/>
  <c r="L69" i="12"/>
  <c r="V113" i="2"/>
  <c r="V108" i="2"/>
  <c r="V99" i="2"/>
  <c r="V72" i="2"/>
  <c r="V60" i="2"/>
  <c r="V56" i="2"/>
  <c r="W30" i="2"/>
  <c r="K130" i="12"/>
  <c r="K128" i="12"/>
  <c r="K124" i="12"/>
  <c r="K116" i="12"/>
  <c r="K100" i="12"/>
  <c r="K89" i="12"/>
  <c r="K65" i="12"/>
  <c r="K64" i="12"/>
  <c r="J133" i="12"/>
  <c r="J105" i="12"/>
  <c r="G103" i="12"/>
  <c r="G102" i="12"/>
  <c r="G101" i="12"/>
  <c r="G100" i="12"/>
  <c r="G96" i="12"/>
  <c r="G93" i="12"/>
  <c r="G92" i="12"/>
  <c r="G91" i="12"/>
  <c r="G89" i="12"/>
  <c r="G88" i="12"/>
  <c r="G87" i="12"/>
  <c r="G86" i="12"/>
  <c r="G85" i="12"/>
  <c r="G84" i="12"/>
  <c r="G80" i="12"/>
  <c r="G79" i="12"/>
  <c r="G120" i="12"/>
  <c r="G117" i="12"/>
  <c r="G106" i="12"/>
  <c r="G105" i="12"/>
  <c r="G104" i="12"/>
  <c r="D102" i="12"/>
  <c r="D101" i="12"/>
  <c r="D100" i="12"/>
  <c r="D94" i="12"/>
  <c r="D93" i="12"/>
  <c r="D91" i="12"/>
  <c r="D88" i="12"/>
  <c r="D87" i="12"/>
  <c r="D84" i="12"/>
  <c r="D82" i="12"/>
  <c r="D81" i="12"/>
  <c r="D80" i="12"/>
  <c r="D79" i="12"/>
  <c r="D78" i="12"/>
  <c r="D75" i="12"/>
  <c r="D74" i="12"/>
  <c r="D64" i="12"/>
  <c r="D63" i="12"/>
  <c r="D62" i="12"/>
  <c r="D61" i="12"/>
  <c r="D60" i="12"/>
  <c r="D59" i="12"/>
  <c r="D57" i="12"/>
  <c r="D54" i="12"/>
  <c r="W554" i="2"/>
  <c r="C134" i="12"/>
  <c r="C133" i="12"/>
  <c r="C132" i="12"/>
  <c r="C131" i="12"/>
  <c r="C129" i="12"/>
  <c r="C128" i="12"/>
  <c r="C127" i="12"/>
  <c r="C126" i="12"/>
  <c r="C123" i="12"/>
  <c r="C122" i="12"/>
  <c r="C121" i="12"/>
  <c r="C118" i="12"/>
  <c r="C114" i="12"/>
  <c r="C107" i="12"/>
  <c r="C106" i="12"/>
  <c r="C104" i="12"/>
  <c r="G78" i="12"/>
  <c r="G75" i="12"/>
  <c r="G74" i="12"/>
  <c r="G71" i="12"/>
  <c r="G69" i="12"/>
  <c r="G68" i="12"/>
  <c r="G63" i="12"/>
  <c r="G60" i="12"/>
  <c r="G59" i="12"/>
  <c r="G57" i="12"/>
  <c r="G55" i="12"/>
  <c r="G54" i="12"/>
  <c r="F134" i="12"/>
  <c r="F127" i="12"/>
  <c r="F125" i="12"/>
  <c r="F116" i="12"/>
  <c r="F106" i="12"/>
  <c r="F104" i="12"/>
  <c r="F100" i="12"/>
  <c r="F94" i="12"/>
  <c r="F91" i="12"/>
  <c r="F81" i="12"/>
  <c r="F80" i="12"/>
  <c r="F79" i="12"/>
  <c r="F75" i="12"/>
  <c r="F74" i="12"/>
  <c r="F72" i="12"/>
  <c r="F71" i="12"/>
  <c r="F67" i="12"/>
  <c r="F64" i="12"/>
  <c r="F62" i="12"/>
  <c r="F60" i="12"/>
  <c r="F59" i="12"/>
  <c r="F56" i="12"/>
  <c r="F55" i="12"/>
  <c r="F54" i="12"/>
  <c r="E134" i="12"/>
  <c r="E125" i="12"/>
  <c r="E118" i="12"/>
  <c r="E116" i="12"/>
  <c r="E113" i="12"/>
  <c r="E106" i="12"/>
  <c r="W345" i="2"/>
  <c r="C103" i="12"/>
  <c r="C102" i="12"/>
  <c r="C101" i="12"/>
  <c r="C100" i="12"/>
  <c r="C95" i="12"/>
  <c r="C94" i="12"/>
  <c r="C92" i="12"/>
  <c r="C87" i="12"/>
  <c r="W195" i="2"/>
  <c r="C75" i="12"/>
  <c r="C74" i="12"/>
  <c r="C70" i="12"/>
  <c r="C65" i="12"/>
  <c r="W115" i="2"/>
  <c r="W110" i="2"/>
  <c r="C61" i="12"/>
  <c r="C60" i="12"/>
  <c r="V79" i="2"/>
  <c r="C58" i="12"/>
  <c r="C55" i="12"/>
  <c r="B132" i="12"/>
  <c r="B131" i="12"/>
  <c r="B130" i="12"/>
  <c r="B129" i="12"/>
  <c r="B128" i="12"/>
  <c r="B127" i="12"/>
  <c r="B126" i="12"/>
  <c r="B123" i="12"/>
  <c r="B120" i="12"/>
  <c r="V444" i="2"/>
  <c r="B116" i="12"/>
  <c r="B108" i="12"/>
  <c r="B107" i="12"/>
  <c r="B106" i="12"/>
  <c r="B105" i="12"/>
  <c r="B104" i="12"/>
  <c r="E100" i="12"/>
  <c r="E96" i="12"/>
  <c r="W275" i="2"/>
  <c r="V271" i="2"/>
  <c r="E86" i="12"/>
  <c r="V246" i="2"/>
  <c r="W241" i="2"/>
  <c r="E81" i="12"/>
  <c r="V212" i="2"/>
  <c r="W207" i="2"/>
  <c r="E64" i="12"/>
  <c r="E61" i="12"/>
  <c r="E57" i="12"/>
  <c r="E55" i="12"/>
  <c r="D114" i="12"/>
  <c r="D108" i="12"/>
  <c r="D106" i="12"/>
  <c r="D105" i="12"/>
  <c r="E77" i="4"/>
  <c r="N116" i="12"/>
  <c r="G118" i="12"/>
  <c r="G65" i="12"/>
  <c r="G58" i="12"/>
  <c r="G56" i="12"/>
  <c r="W225" i="2"/>
  <c r="E75" i="12"/>
  <c r="V109" i="2"/>
  <c r="V73" i="2"/>
  <c r="W53" i="2"/>
  <c r="V40" i="2"/>
  <c r="V564" i="2"/>
  <c r="W504" i="2"/>
  <c r="D104" i="12"/>
  <c r="D90" i="12"/>
  <c r="D65" i="12"/>
  <c r="B57" i="12"/>
  <c r="V13" i="2"/>
  <c r="H79" i="12"/>
  <c r="G113" i="12"/>
  <c r="V280" i="2"/>
  <c r="W132" i="2"/>
  <c r="V114" i="2"/>
  <c r="V57" i="2"/>
  <c r="W17" i="2"/>
  <c r="W559" i="2"/>
  <c r="W519" i="2"/>
  <c r="D113" i="12"/>
  <c r="D58" i="12"/>
  <c r="W365" i="2"/>
  <c r="B113" i="12"/>
  <c r="W121" i="2"/>
  <c r="W38" i="2"/>
  <c r="L59" i="12"/>
  <c r="L58" i="12"/>
  <c r="J104" i="12"/>
  <c r="J90" i="12"/>
  <c r="J79" i="12"/>
  <c r="N96" i="12"/>
  <c r="N80" i="12"/>
  <c r="F58" i="12"/>
  <c r="V236" i="2"/>
  <c r="E65" i="12"/>
  <c r="V45" i="2"/>
  <c r="W27" i="2"/>
  <c r="W569" i="2"/>
  <c r="V509" i="2"/>
  <c r="V352" i="2"/>
  <c r="V343" i="2"/>
  <c r="W308" i="2"/>
  <c r="D56" i="12"/>
  <c r="W380" i="2"/>
  <c r="W356" i="2"/>
  <c r="B79" i="12"/>
  <c r="H59" i="12"/>
  <c r="B58" i="12"/>
  <c r="B96" i="12"/>
  <c r="V489" i="2"/>
  <c r="W489" i="2"/>
  <c r="W469" i="2"/>
  <c r="V555" i="2"/>
  <c r="L104" i="12"/>
  <c r="L75" i="12"/>
  <c r="V369" i="2"/>
  <c r="V134" i="2"/>
  <c r="W113" i="2"/>
  <c r="V241" i="2"/>
  <c r="W494" i="2"/>
  <c r="V345" i="2"/>
  <c r="W44" i="2"/>
  <c r="E83" i="12"/>
  <c r="V107" i="2"/>
  <c r="V275" i="2"/>
  <c r="V85" i="2"/>
  <c r="N84" i="12"/>
  <c r="N92" i="12"/>
  <c r="V493" i="2"/>
  <c r="W355" i="2"/>
  <c r="V355" i="2"/>
  <c r="B69" i="4"/>
  <c r="N63" i="12"/>
  <c r="I58" i="12"/>
  <c r="F65" i="12"/>
  <c r="W65" i="2"/>
  <c r="W49" i="2"/>
  <c r="W31" i="2"/>
  <c r="E54" i="12"/>
  <c r="V494" i="2"/>
  <c r="V469" i="2"/>
  <c r="C116" i="12"/>
  <c r="C113" i="12"/>
  <c r="W116" i="2"/>
  <c r="V187" i="2"/>
  <c r="V490" i="2"/>
  <c r="E63" i="12"/>
  <c r="V445" i="2"/>
  <c r="L65" i="12"/>
  <c r="V342" i="2"/>
  <c r="V115" i="2"/>
  <c r="V307" i="2"/>
  <c r="V77" i="2"/>
  <c r="C63" i="12"/>
  <c r="V22" i="2"/>
  <c r="V458" i="2"/>
  <c r="W280" i="2"/>
  <c r="H60" i="12"/>
  <c r="C59" i="12"/>
  <c r="E62" i="12"/>
  <c r="J61" i="12"/>
  <c r="J56" i="12"/>
  <c r="I106" i="12"/>
  <c r="I90" i="12"/>
  <c r="V372" i="2"/>
  <c r="W346" i="2"/>
  <c r="W209" i="2"/>
  <c r="V191" i="2"/>
  <c r="W182" i="2"/>
  <c r="V177" i="2"/>
  <c r="V162" i="2"/>
  <c r="W129" i="2"/>
  <c r="V110" i="2"/>
  <c r="V106" i="2"/>
  <c r="W106" i="2"/>
  <c r="W97" i="2"/>
  <c r="V92" i="2"/>
  <c r="V19" i="2"/>
  <c r="V401" i="2"/>
  <c r="W340" i="2"/>
  <c r="V335" i="2"/>
  <c r="W330" i="2"/>
  <c r="W325" i="2"/>
  <c r="V305" i="2"/>
  <c r="V290" i="2"/>
  <c r="W285" i="2"/>
  <c r="W276" i="2"/>
  <c r="W272" i="2"/>
  <c r="W267" i="2"/>
  <c r="W262" i="2"/>
  <c r="V257" i="2"/>
  <c r="V252" i="2"/>
  <c r="M59" i="12"/>
  <c r="V488" i="2"/>
  <c r="V483" i="2"/>
  <c r="W458" i="2"/>
  <c r="W448" i="2"/>
  <c r="W434" i="2"/>
  <c r="W429" i="2"/>
  <c r="W408" i="2"/>
  <c r="V380" i="2"/>
  <c r="V375" i="2"/>
  <c r="W361" i="2"/>
  <c r="W357" i="2"/>
  <c r="V354" i="2"/>
  <c r="W271" i="2"/>
  <c r="V266" i="2"/>
  <c r="W246" i="2"/>
  <c r="W236" i="2"/>
  <c r="V502" i="2"/>
  <c r="M132" i="12"/>
  <c r="M124" i="12"/>
  <c r="M114" i="12"/>
  <c r="M86" i="12"/>
  <c r="M82" i="12"/>
  <c r="M79" i="12"/>
  <c r="H87" i="12"/>
  <c r="H86" i="12"/>
  <c r="V472" i="2"/>
  <c r="W399" i="2"/>
  <c r="W374" i="2"/>
  <c r="V365" i="2"/>
  <c r="V356" i="2"/>
  <c r="V346" i="2"/>
  <c r="V337" i="2"/>
  <c r="W287" i="2"/>
  <c r="V225" i="2"/>
  <c r="W220" i="2"/>
  <c r="V207" i="2"/>
  <c r="W197" i="2"/>
  <c r="V184" i="2"/>
  <c r="W170" i="2"/>
  <c r="V165" i="2"/>
  <c r="W160" i="2"/>
  <c r="W155" i="2"/>
  <c r="V145" i="2"/>
  <c r="V140" i="2"/>
  <c r="W503" i="2"/>
  <c r="W508" i="2"/>
  <c r="W518" i="2"/>
  <c r="W553" i="2"/>
  <c r="W563" i="2"/>
  <c r="M81" i="12"/>
  <c r="V181" i="2"/>
  <c r="M73" i="12"/>
  <c r="M72" i="12"/>
  <c r="M71" i="12"/>
  <c r="V132" i="2"/>
  <c r="W128" i="2"/>
  <c r="M64" i="12"/>
  <c r="W118" i="2"/>
  <c r="W114" i="2"/>
  <c r="V104" i="2"/>
  <c r="W96" i="2"/>
  <c r="V91" i="2"/>
  <c r="W87" i="2"/>
  <c r="W32" i="2"/>
  <c r="M56" i="12"/>
  <c r="M54" i="12"/>
  <c r="W11" i="2"/>
  <c r="L131" i="12"/>
  <c r="K57" i="12"/>
  <c r="K54" i="12"/>
  <c r="W485" i="2"/>
  <c r="W460" i="2"/>
  <c r="W450" i="2"/>
  <c r="W446" i="2"/>
  <c r="W442" i="2"/>
  <c r="W436" i="2"/>
  <c r="W382" i="2"/>
  <c r="W369" i="2"/>
  <c r="W364" i="2"/>
  <c r="W359" i="2"/>
  <c r="W336" i="2"/>
  <c r="V326" i="2"/>
  <c r="V301" i="2"/>
  <c r="W296" i="2"/>
  <c r="V286" i="2"/>
  <c r="V281" i="2"/>
  <c r="V277" i="2"/>
  <c r="W259" i="2"/>
  <c r="W254" i="2"/>
  <c r="V249" i="2"/>
  <c r="W233" i="2"/>
  <c r="W196" i="2"/>
  <c r="W138" i="2"/>
  <c r="V112" i="2"/>
  <c r="W107" i="2"/>
  <c r="V102" i="2"/>
  <c r="V98" i="2"/>
  <c r="W89" i="2"/>
  <c r="W80" i="2"/>
  <c r="W75" i="2"/>
  <c r="W71" i="2"/>
  <c r="W63" i="2"/>
  <c r="W59" i="2"/>
  <c r="W51" i="2"/>
  <c r="V43" i="2"/>
  <c r="W34" i="2"/>
  <c r="V30" i="2"/>
  <c r="W26" i="2"/>
  <c r="V21" i="2"/>
  <c r="W16" i="2"/>
  <c r="W12" i="2"/>
  <c r="M102" i="12"/>
  <c r="M88" i="12"/>
  <c r="K125" i="12"/>
  <c r="K118" i="12"/>
  <c r="K113" i="12"/>
  <c r="B82" i="12"/>
  <c r="B149" i="4"/>
  <c r="M60" i="12"/>
  <c r="M58" i="12"/>
  <c r="V160" i="2"/>
  <c r="W286" i="2"/>
  <c r="E56" i="12"/>
  <c r="V427" i="2"/>
  <c r="V479" i="2"/>
  <c r="W474" i="2"/>
  <c r="W165" i="2"/>
  <c r="W354" i="2"/>
  <c r="W502" i="2"/>
  <c r="B43" i="20"/>
  <c r="V53" i="3"/>
  <c r="W375" i="2"/>
  <c r="W352" i="2"/>
  <c r="N58" i="12"/>
  <c r="U49" i="3"/>
  <c r="W464" i="2"/>
  <c r="E34" i="12"/>
  <c r="V434" i="2"/>
  <c r="V96" i="2"/>
  <c r="V49" i="2"/>
  <c r="V58" i="3"/>
  <c r="V65" i="2"/>
  <c r="W145" i="2"/>
  <c r="W40" i="2"/>
  <c r="U54" i="3"/>
  <c r="W57" i="2"/>
  <c r="V442" i="2"/>
  <c r="W479" i="2"/>
  <c r="W112" i="2"/>
  <c r="V499" i="2"/>
  <c r="V492" i="2"/>
  <c r="V303" i="2"/>
  <c r="W74" i="2"/>
  <c r="Y35" i="13"/>
  <c r="V325" i="2"/>
  <c r="V359" i="2"/>
  <c r="V16" i="2"/>
  <c r="V71" i="2"/>
  <c r="V196" i="2"/>
  <c r="V39" i="3"/>
  <c r="V399" i="2"/>
  <c r="N93" i="12"/>
  <c r="N54" i="12"/>
  <c r="W425" i="2"/>
  <c r="V409" i="2"/>
  <c r="V405" i="2"/>
  <c r="V363" i="2"/>
  <c r="V348" i="2"/>
  <c r="V217" i="2"/>
  <c r="W213" i="2"/>
  <c r="W208" i="2"/>
  <c r="W202" i="2"/>
  <c r="W200" i="2"/>
  <c r="W194" i="2"/>
  <c r="W190" i="2"/>
  <c r="V186" i="2"/>
  <c r="F27" i="4"/>
  <c r="F23" i="4"/>
  <c r="F19" i="4"/>
  <c r="W347" i="2"/>
  <c r="U31" i="3"/>
  <c r="W350" i="2"/>
  <c r="V293" i="2"/>
  <c r="M91" i="12"/>
  <c r="V278" i="2"/>
  <c r="V274" i="2"/>
  <c r="M89" i="12"/>
  <c r="M87" i="12"/>
  <c r="V242" i="2"/>
  <c r="V226" i="2"/>
  <c r="V221" i="2"/>
  <c r="M78" i="12"/>
  <c r="K126" i="12"/>
  <c r="K105" i="12"/>
  <c r="W560" i="2"/>
  <c r="W555" i="2"/>
  <c r="V530" i="2"/>
  <c r="W525" i="2"/>
  <c r="J132" i="12"/>
  <c r="V515" i="2"/>
  <c r="J128" i="12"/>
  <c r="V485" i="2"/>
  <c r="W475" i="2"/>
  <c r="J118" i="12"/>
  <c r="V432" i="2"/>
  <c r="W426" i="2"/>
  <c r="J113" i="12"/>
  <c r="J108" i="12"/>
  <c r="J107" i="12"/>
  <c r="J106" i="12"/>
  <c r="H113" i="12"/>
  <c r="H92" i="12"/>
  <c r="H71" i="12"/>
  <c r="W61" i="2"/>
  <c r="V14" i="2"/>
  <c r="Y32" i="13"/>
  <c r="B77" i="12"/>
  <c r="F45" i="4"/>
  <c r="V297" i="2"/>
  <c r="L130" i="12"/>
  <c r="L124" i="12"/>
  <c r="L123" i="12"/>
  <c r="L122" i="12"/>
  <c r="L88" i="12"/>
  <c r="L57" i="12"/>
  <c r="V32" i="2"/>
  <c r="W28" i="2"/>
  <c r="W10" i="2"/>
  <c r="W255" i="2"/>
  <c r="W240" i="2"/>
  <c r="W234" i="2"/>
  <c r="K81" i="12"/>
  <c r="K80" i="12"/>
  <c r="K78" i="12"/>
  <c r="W206" i="2"/>
  <c r="K59" i="12"/>
  <c r="I83" i="12"/>
  <c r="I67" i="12"/>
  <c r="I59" i="12"/>
  <c r="G108" i="12"/>
  <c r="F142" i="12"/>
  <c r="F133" i="12"/>
  <c r="F131" i="12"/>
  <c r="F130" i="12"/>
  <c r="F123" i="12"/>
  <c r="F121" i="12"/>
  <c r="F114" i="12"/>
  <c r="F92" i="12"/>
  <c r="F88" i="12"/>
  <c r="E92" i="12"/>
  <c r="E84" i="12"/>
  <c r="C125" i="12"/>
  <c r="C120" i="12"/>
  <c r="C84" i="12"/>
  <c r="B134" i="12"/>
  <c r="B125" i="12"/>
  <c r="B88" i="12"/>
  <c r="B87" i="12"/>
  <c r="B84" i="12"/>
  <c r="B81" i="12"/>
  <c r="B80" i="12"/>
  <c r="W178" i="2"/>
  <c r="W168" i="2"/>
  <c r="V163" i="2"/>
  <c r="W158" i="2"/>
  <c r="W148" i="2"/>
  <c r="V143" i="2"/>
  <c r="V135" i="2"/>
  <c r="V127" i="2"/>
  <c r="V103" i="2"/>
  <c r="W77" i="2"/>
  <c r="W52" i="2"/>
  <c r="V39" i="2"/>
  <c r="V36" i="2"/>
  <c r="V31" i="2"/>
  <c r="V27" i="2"/>
  <c r="W13" i="2"/>
  <c r="Y24" i="13"/>
  <c r="V41" i="3"/>
  <c r="M101" i="12"/>
  <c r="W326" i="2"/>
  <c r="W306" i="2"/>
  <c r="M94" i="12"/>
  <c r="K102" i="12"/>
  <c r="J73" i="12"/>
  <c r="J72" i="12"/>
  <c r="J71" i="12"/>
  <c r="I142" i="12"/>
  <c r="I132" i="12"/>
  <c r="I131" i="12"/>
  <c r="I124" i="12"/>
  <c r="I121" i="12"/>
  <c r="I60" i="12"/>
  <c r="H83" i="12"/>
  <c r="C73" i="12"/>
  <c r="C71" i="12"/>
  <c r="V146" i="2"/>
  <c r="W153" i="2"/>
  <c r="N106" i="12"/>
  <c r="L55" i="12"/>
  <c r="W221" i="2"/>
  <c r="W19" i="2"/>
  <c r="W217" i="2"/>
  <c r="V208" i="2"/>
  <c r="M61" i="12"/>
  <c r="V425" i="2"/>
  <c r="W21" i="2"/>
  <c r="M80" i="12"/>
  <c r="V460" i="2"/>
  <c r="V118" i="2"/>
  <c r="W226" i="2"/>
  <c r="V83" i="2"/>
  <c r="V475" i="2"/>
  <c r="V450" i="2"/>
  <c r="N101" i="12"/>
  <c r="W92" i="2"/>
  <c r="W432" i="2"/>
  <c r="V520" i="2"/>
  <c r="W43" i="2"/>
  <c r="J114" i="12"/>
  <c r="U37" i="3"/>
  <c r="V364" i="2"/>
  <c r="W348" i="2"/>
  <c r="W242" i="2"/>
  <c r="V202" i="2"/>
  <c r="V126" i="2"/>
  <c r="W126" i="2"/>
  <c r="Y18" i="13"/>
  <c r="W500" i="2"/>
  <c r="W495" i="2"/>
  <c r="M105" i="12"/>
  <c r="W335" i="2"/>
  <c r="M92" i="12"/>
  <c r="V282" i="2"/>
  <c r="M68" i="12"/>
  <c r="M57" i="12"/>
  <c r="W22" i="2"/>
  <c r="L134" i="12"/>
  <c r="V273" i="2"/>
  <c r="L72" i="12"/>
  <c r="L71" i="12"/>
  <c r="K142" i="12"/>
  <c r="K131" i="12"/>
  <c r="K127" i="12"/>
  <c r="K123" i="12"/>
  <c r="K122" i="12"/>
  <c r="K121" i="12"/>
  <c r="K88" i="12"/>
  <c r="W88" i="2"/>
  <c r="W70" i="2"/>
  <c r="V58" i="2"/>
  <c r="V54" i="2"/>
  <c r="W50" i="2"/>
  <c r="W46" i="2"/>
  <c r="W29" i="2"/>
  <c r="V24" i="2"/>
  <c r="K55" i="12"/>
  <c r="W15" i="2"/>
  <c r="V11" i="2"/>
  <c r="V340" i="2"/>
  <c r="N91" i="12"/>
  <c r="V128" i="2"/>
  <c r="V259" i="2"/>
  <c r="W83" i="2"/>
  <c r="V306" i="2"/>
  <c r="L56" i="12"/>
  <c r="V429" i="2"/>
  <c r="V474" i="2"/>
  <c r="W488" i="2"/>
  <c r="V213" i="2"/>
  <c r="V153" i="2"/>
  <c r="W530" i="2"/>
  <c r="W483" i="2"/>
  <c r="W37" i="2"/>
  <c r="W480" i="2"/>
  <c r="W278" i="2"/>
  <c r="V206" i="2"/>
  <c r="V203" i="2"/>
  <c r="V28" i="2"/>
  <c r="Y31" i="13"/>
  <c r="E77" i="12"/>
  <c r="I77" i="12"/>
  <c r="V510" i="2"/>
  <c r="W510" i="2"/>
  <c r="W515" i="2"/>
  <c r="W520" i="2"/>
  <c r="V560" i="2"/>
  <c r="W570" i="2"/>
  <c r="E46" i="4"/>
  <c r="E109" i="4" s="1"/>
  <c r="N126" i="12"/>
  <c r="M134" i="12"/>
  <c r="M108" i="12"/>
  <c r="M107" i="12"/>
  <c r="M95" i="12"/>
  <c r="M93" i="12"/>
  <c r="L103" i="12"/>
  <c r="W252" i="2"/>
  <c r="J129" i="12"/>
  <c r="J124" i="12"/>
  <c r="J121" i="12"/>
  <c r="W201" i="2"/>
  <c r="M103" i="12"/>
  <c r="V34" i="2"/>
  <c r="M65" i="12"/>
  <c r="V210" i="2"/>
  <c r="W499" i="2"/>
  <c r="V63" i="2"/>
  <c r="V26" i="2"/>
  <c r="V15" i="2"/>
  <c r="V330" i="2"/>
  <c r="U59" i="3"/>
  <c r="V285" i="2"/>
  <c r="W210" i="2"/>
  <c r="W186" i="2"/>
  <c r="B135" i="20"/>
  <c r="V182" i="2"/>
  <c r="W163" i="2"/>
  <c r="W256" i="2"/>
  <c r="V97" i="2"/>
  <c r="I136" i="4"/>
  <c r="F136" i="4" s="1"/>
  <c r="U60" i="3"/>
  <c r="V93" i="2"/>
  <c r="W93" i="2"/>
  <c r="M142" i="12"/>
  <c r="M131" i="12"/>
  <c r="M123" i="12"/>
  <c r="M70" i="12"/>
  <c r="W47" i="2"/>
  <c r="W567" i="2"/>
  <c r="W444" i="2"/>
  <c r="W405" i="2"/>
  <c r="L100" i="12"/>
  <c r="V525" i="2"/>
  <c r="V361" i="2"/>
  <c r="V357" i="2"/>
  <c r="W353" i="2"/>
  <c r="K96" i="12"/>
  <c r="K94" i="12"/>
  <c r="W189" i="2"/>
  <c r="K63" i="12"/>
  <c r="V402" i="2"/>
  <c r="V374" i="2"/>
  <c r="V360" i="2"/>
  <c r="V336" i="2"/>
  <c r="W301" i="2"/>
  <c r="W281" i="2"/>
  <c r="W250" i="2"/>
  <c r="V209" i="2"/>
  <c r="V205" i="2"/>
  <c r="V200" i="2"/>
  <c r="W199" i="2"/>
  <c r="V157" i="2"/>
  <c r="W142" i="2"/>
  <c r="W122" i="2"/>
  <c r="V90" i="2"/>
  <c r="W69" i="2"/>
  <c r="H77" i="12"/>
  <c r="J77" i="12"/>
  <c r="Y33" i="13"/>
  <c r="Z35" i="13"/>
  <c r="V519" i="2"/>
  <c r="V569" i="2"/>
  <c r="M118" i="12"/>
  <c r="M117" i="12"/>
  <c r="M100" i="12"/>
  <c r="K134" i="12"/>
  <c r="K120" i="12"/>
  <c r="K74" i="12"/>
  <c r="K73" i="12"/>
  <c r="V151" i="2"/>
  <c r="J117" i="12"/>
  <c r="H142" i="12"/>
  <c r="H131" i="12"/>
  <c r="H129" i="12"/>
  <c r="H127" i="12"/>
  <c r="H123" i="12"/>
  <c r="H121" i="12"/>
  <c r="H90" i="12"/>
  <c r="H89" i="12"/>
  <c r="H69" i="12"/>
  <c r="E80" i="12"/>
  <c r="D85" i="12"/>
  <c r="I84" i="12"/>
  <c r="I81" i="12"/>
  <c r="I80" i="12"/>
  <c r="I74" i="12"/>
  <c r="V338" i="2"/>
  <c r="W328" i="2"/>
  <c r="E90" i="12"/>
  <c r="W517" i="2"/>
  <c r="W492" i="2"/>
  <c r="W487" i="2"/>
  <c r="W482" i="2"/>
  <c r="W462" i="2"/>
  <c r="W447" i="2"/>
  <c r="W443" i="2"/>
  <c r="V433" i="2"/>
  <c r="C81" i="12"/>
  <c r="V245" i="2"/>
  <c r="W191" i="2"/>
  <c r="V172" i="2"/>
  <c r="V167" i="2"/>
  <c r="L142" i="12"/>
  <c r="W445" i="2"/>
  <c r="V435" i="2"/>
  <c r="V410" i="2"/>
  <c r="W406" i="2"/>
  <c r="L107" i="12"/>
  <c r="L106" i="12"/>
  <c r="L102" i="12"/>
  <c r="L101" i="12"/>
  <c r="L96" i="12"/>
  <c r="V265" i="2"/>
  <c r="L86" i="12"/>
  <c r="V220" i="2"/>
  <c r="W216" i="2"/>
  <c r="L79" i="12"/>
  <c r="L78" i="12"/>
  <c r="W127" i="2"/>
  <c r="L64" i="12"/>
  <c r="L63" i="12"/>
  <c r="K103" i="12"/>
  <c r="K95" i="12"/>
  <c r="K86" i="12"/>
  <c r="K85" i="12"/>
  <c r="K84" i="12"/>
  <c r="K82" i="12"/>
  <c r="W227" i="2"/>
  <c r="V222" i="2"/>
  <c r="J134" i="12"/>
  <c r="J125" i="12"/>
  <c r="J123" i="12"/>
  <c r="J122" i="12"/>
  <c r="J120" i="12"/>
  <c r="J69" i="12"/>
  <c r="I125" i="12"/>
  <c r="I108" i="12"/>
  <c r="I107" i="12"/>
  <c r="I85" i="12"/>
  <c r="H95" i="12"/>
  <c r="H72" i="12"/>
  <c r="G95" i="12"/>
  <c r="F120" i="12"/>
  <c r="E121" i="12"/>
  <c r="V141" i="2"/>
  <c r="F87" i="12"/>
  <c r="E126" i="12"/>
  <c r="E104" i="12"/>
  <c r="E69" i="12"/>
  <c r="E67" i="12"/>
  <c r="D69" i="12"/>
  <c r="D67" i="12"/>
  <c r="C142" i="12"/>
  <c r="C96" i="12"/>
  <c r="B133" i="12"/>
  <c r="B124" i="12"/>
  <c r="B121" i="12"/>
  <c r="B89" i="12"/>
  <c r="B86" i="12"/>
  <c r="B73" i="12"/>
  <c r="B70" i="12"/>
  <c r="G134" i="12"/>
  <c r="F126" i="12"/>
  <c r="W465" i="2"/>
  <c r="F89" i="12"/>
  <c r="F84" i="12"/>
  <c r="F70" i="12"/>
  <c r="E73" i="12"/>
  <c r="E58" i="12"/>
  <c r="D86" i="12"/>
  <c r="D73" i="12"/>
  <c r="D71" i="12"/>
  <c r="C78" i="12"/>
  <c r="W143" i="2"/>
  <c r="I134" i="4"/>
  <c r="F134" i="4" s="1"/>
  <c r="I72" i="12"/>
  <c r="I71" i="12"/>
  <c r="I68" i="12"/>
  <c r="H134" i="12"/>
  <c r="H125" i="12"/>
  <c r="H94" i="12"/>
  <c r="H85" i="12"/>
  <c r="H84" i="12"/>
  <c r="H82" i="12"/>
  <c r="H81" i="12"/>
  <c r="H80" i="12"/>
  <c r="W215" i="2"/>
  <c r="H78" i="12"/>
  <c r="V192" i="2"/>
  <c r="W183" i="2"/>
  <c r="G142" i="12"/>
  <c r="G132" i="12"/>
  <c r="G131" i="12"/>
  <c r="G129" i="12"/>
  <c r="G121" i="12"/>
  <c r="G72" i="12"/>
  <c r="G67" i="12"/>
  <c r="F103" i="12"/>
  <c r="F95" i="12"/>
  <c r="F85" i="12"/>
  <c r="E142" i="12"/>
  <c r="E133" i="12"/>
  <c r="E131" i="12"/>
  <c r="E130" i="12"/>
  <c r="E129" i="12"/>
  <c r="E128" i="12"/>
  <c r="E127" i="12"/>
  <c r="E124" i="12"/>
  <c r="E123" i="12"/>
  <c r="E122" i="12"/>
  <c r="E107" i="12"/>
  <c r="E89" i="12"/>
  <c r="E88" i="12"/>
  <c r="V256" i="2"/>
  <c r="W218" i="2"/>
  <c r="V189" i="2"/>
  <c r="W184" i="2"/>
  <c r="E59" i="12"/>
  <c r="D132" i="12"/>
  <c r="V508" i="2"/>
  <c r="V503" i="2"/>
  <c r="V379" i="2"/>
  <c r="V351" i="2"/>
  <c r="D103" i="12"/>
  <c r="D96" i="12"/>
  <c r="D92" i="12"/>
  <c r="C108" i="12"/>
  <c r="C83" i="12"/>
  <c r="C69" i="12"/>
  <c r="C67" i="12"/>
  <c r="F15" i="19"/>
  <c r="N16" i="12"/>
  <c r="C26" i="3"/>
  <c r="T26" i="3"/>
  <c r="Q26" i="3"/>
  <c r="K16" i="12" s="1"/>
  <c r="V43" i="3"/>
  <c r="U43" i="3"/>
  <c r="U40" i="3"/>
  <c r="V40" i="3"/>
  <c r="V36" i="3"/>
  <c r="W568" i="2"/>
  <c r="F144" i="19"/>
  <c r="E113" i="4"/>
  <c r="W141" i="2"/>
  <c r="M66" i="12"/>
  <c r="F66" i="12"/>
  <c r="B78" i="4"/>
  <c r="I78" i="4" s="1"/>
  <c r="E149" i="4"/>
  <c r="K108" i="12"/>
  <c r="M121" i="12"/>
  <c r="M125" i="12"/>
  <c r="E85" i="4"/>
  <c r="I85" i="4" s="1"/>
  <c r="V478" i="2"/>
  <c r="V473" i="2"/>
  <c r="W468" i="2"/>
  <c r="W513" i="2"/>
  <c r="V513" i="2"/>
  <c r="V498" i="2"/>
  <c r="L126" i="12"/>
  <c r="W565" i="2"/>
  <c r="V568" i="2"/>
  <c r="D142" i="12"/>
  <c r="W401" i="2"/>
  <c r="D107" i="12"/>
  <c r="F128" i="12"/>
  <c r="D128" i="12"/>
  <c r="W498" i="2"/>
  <c r="E88" i="4"/>
  <c r="I88" i="4" s="1"/>
  <c r="M127" i="12"/>
  <c r="W493" i="2"/>
  <c r="J127" i="12"/>
  <c r="W490" i="2"/>
  <c r="M126" i="12"/>
  <c r="J126" i="12"/>
  <c r="V484" i="2"/>
  <c r="W478" i="2"/>
  <c r="D123" i="12"/>
  <c r="W473" i="2"/>
  <c r="V468" i="2"/>
  <c r="M122" i="12"/>
  <c r="M120" i="12"/>
  <c r="L120" i="12"/>
  <c r="L133" i="12"/>
  <c r="H133" i="12"/>
  <c r="D133" i="12"/>
  <c r="I133" i="12"/>
  <c r="G133" i="12"/>
  <c r="V518" i="2"/>
  <c r="H132" i="12"/>
  <c r="J131" i="12"/>
  <c r="D130" i="12"/>
  <c r="M130" i="12"/>
  <c r="D129" i="12"/>
  <c r="D134" i="12"/>
  <c r="V565" i="2"/>
  <c r="V553" i="2"/>
  <c r="L95" i="12"/>
  <c r="I73" i="12"/>
  <c r="L73" i="12"/>
  <c r="G73" i="12"/>
  <c r="E72" i="12"/>
  <c r="D72" i="12"/>
  <c r="L70" i="12"/>
  <c r="B162" i="4"/>
  <c r="N69" i="12"/>
  <c r="B69" i="12"/>
  <c r="H68" i="12"/>
  <c r="E68" i="12"/>
  <c r="D68" i="12"/>
  <c r="N133" i="12"/>
  <c r="K133" i="12"/>
  <c r="W564" i="2"/>
  <c r="W150" i="2"/>
  <c r="C68" i="12"/>
  <c r="V150" i="2"/>
  <c r="L68" i="12"/>
  <c r="B68" i="12"/>
  <c r="N67" i="12"/>
  <c r="W146" i="2"/>
  <c r="M67" i="12"/>
  <c r="J67" i="12"/>
  <c r="V147" i="2"/>
  <c r="W147" i="2"/>
  <c r="B67" i="12"/>
  <c r="H67" i="12"/>
  <c r="L66" i="12"/>
  <c r="V142" i="2"/>
  <c r="K66" i="12"/>
  <c r="H66" i="12"/>
  <c r="B159" i="4"/>
  <c r="N66" i="12"/>
  <c r="J66" i="12"/>
  <c r="C66" i="12"/>
  <c r="B66" i="12"/>
  <c r="E66" i="12"/>
  <c r="D66" i="12"/>
  <c r="V29" i="3"/>
  <c r="E110" i="4"/>
  <c r="D149" i="4"/>
  <c r="I133" i="4"/>
  <c r="I139" i="4"/>
  <c r="F139" i="4" s="1"/>
  <c r="I137" i="4"/>
  <c r="F137" i="4" s="1"/>
  <c r="A162" i="4"/>
  <c r="F44" i="4"/>
  <c r="F40" i="4"/>
  <c r="F36" i="4"/>
  <c r="F28" i="4"/>
  <c r="F24" i="4"/>
  <c r="F20" i="4"/>
  <c r="F16" i="4"/>
  <c r="I135" i="4"/>
  <c r="F135" i="4" s="1"/>
  <c r="I140" i="4"/>
  <c r="F140" i="4" s="1"/>
  <c r="I138" i="4"/>
  <c r="F138" i="4" s="1"/>
  <c r="F46" i="4"/>
  <c r="F42" i="4"/>
  <c r="F38" i="4"/>
  <c r="F34" i="4"/>
  <c r="F26" i="4"/>
  <c r="F22" i="4"/>
  <c r="F18" i="4"/>
  <c r="A1" i="33"/>
  <c r="I1" i="4"/>
  <c r="Z31" i="13"/>
  <c r="E168" i="4"/>
  <c r="Y20" i="13"/>
  <c r="Y23" i="13"/>
  <c r="D77" i="12"/>
  <c r="Z33" i="13"/>
  <c r="C77" i="12"/>
  <c r="H26" i="13"/>
  <c r="H39" i="13" s="1"/>
  <c r="E171" i="4" s="1"/>
  <c r="N34" i="12"/>
  <c r="Z24" i="13"/>
  <c r="F34" i="12"/>
  <c r="J34" i="12"/>
  <c r="C34" i="12"/>
  <c r="Z34" i="13"/>
  <c r="I55" i="28"/>
  <c r="M31" i="28"/>
  <c r="M95" i="28"/>
  <c r="J1" i="27"/>
  <c r="H44" i="27" s="1"/>
  <c r="H10" i="27"/>
  <c r="H54" i="27" s="1"/>
  <c r="K1" i="27"/>
  <c r="G24" i="27"/>
  <c r="M115" i="28"/>
  <c r="D28" i="3" s="1"/>
  <c r="C28" i="3" s="1"/>
  <c r="G13" i="12"/>
  <c r="K13" i="12"/>
  <c r="E13" i="12"/>
  <c r="B13" i="12"/>
  <c r="J13" i="12"/>
  <c r="H19" i="27"/>
  <c r="A1" i="17"/>
  <c r="A1" i="28"/>
  <c r="A1" i="19"/>
  <c r="A1" i="27"/>
  <c r="A1" i="2"/>
  <c r="A1" i="13"/>
  <c r="A1" i="12"/>
  <c r="B157" i="4"/>
  <c r="W459" i="2"/>
  <c r="V459" i="2"/>
  <c r="W404" i="2"/>
  <c r="V404" i="2"/>
  <c r="W370" i="2"/>
  <c r="V370" i="2"/>
  <c r="W78" i="2"/>
  <c r="V78" i="2"/>
  <c r="W55" i="2"/>
  <c r="V55" i="2"/>
  <c r="N100" i="12"/>
  <c r="M74" i="12"/>
  <c r="W449" i="2"/>
  <c r="V449" i="2"/>
  <c r="K72" i="12"/>
  <c r="W171" i="2"/>
  <c r="V156" i="2"/>
  <c r="K69" i="12"/>
  <c r="K60" i="12"/>
  <c r="K58" i="12"/>
  <c r="W42" i="2"/>
  <c r="H29" i="12"/>
  <c r="U39" i="3"/>
  <c r="E20" i="12"/>
  <c r="V30" i="3"/>
  <c r="U30" i="3"/>
  <c r="V562" i="2"/>
  <c r="W562" i="2"/>
  <c r="W552" i="2"/>
  <c r="V552" i="2"/>
  <c r="D122" i="12"/>
  <c r="V467" i="2"/>
  <c r="D120" i="12"/>
  <c r="W457" i="2"/>
  <c r="B41" i="12"/>
  <c r="U53" i="3"/>
  <c r="B32" i="12"/>
  <c r="U42" i="3"/>
  <c r="V31" i="3"/>
  <c r="V457" i="2"/>
  <c r="D125" i="12"/>
  <c r="V194" i="2"/>
  <c r="N118" i="12"/>
  <c r="V497" i="2"/>
  <c r="W467" i="2"/>
  <c r="W439" i="2"/>
  <c r="V439" i="2"/>
  <c r="V431" i="2"/>
  <c r="W422" i="2"/>
  <c r="V422" i="2"/>
  <c r="V381" i="2"/>
  <c r="W381" i="2"/>
  <c r="W377" i="2"/>
  <c r="V377" i="2"/>
  <c r="W349" i="2"/>
  <c r="V349" i="2"/>
  <c r="W130" i="2"/>
  <c r="V130" i="2"/>
  <c r="V101" i="2"/>
  <c r="W101" i="2"/>
  <c r="V62" i="2"/>
  <c r="Y19" i="13"/>
  <c r="Z19" i="13"/>
  <c r="Z20" i="13"/>
  <c r="V557" i="2"/>
  <c r="N130" i="12"/>
  <c r="E91" i="4"/>
  <c r="I91" i="4" s="1"/>
  <c r="N86" i="12"/>
  <c r="F22" i="12"/>
  <c r="U32" i="3"/>
  <c r="W343" i="2"/>
  <c r="E103" i="12"/>
  <c r="E101" i="12"/>
  <c r="W333" i="2"/>
  <c r="V298" i="2"/>
  <c r="W298" i="2"/>
  <c r="V215" i="2"/>
  <c r="U57" i="3"/>
  <c r="W431" i="2"/>
  <c r="K75" i="12"/>
  <c r="V170" i="2"/>
  <c r="V239" i="2"/>
  <c r="V48" i="3"/>
  <c r="W244" i="2"/>
  <c r="V267" i="2"/>
  <c r="W484" i="2"/>
  <c r="B160" i="4"/>
  <c r="V224" i="2"/>
  <c r="V171" i="2"/>
  <c r="V376" i="2"/>
  <c r="V42" i="3"/>
  <c r="V327" i="2"/>
  <c r="V244" i="2"/>
  <c r="W332" i="2"/>
  <c r="V462" i="2"/>
  <c r="V487" i="2"/>
  <c r="V59" i="2"/>
  <c r="W435" i="2"/>
  <c r="V464" i="2"/>
  <c r="K56" i="12"/>
  <c r="V371" i="2"/>
  <c r="D126" i="12"/>
  <c r="E94" i="12"/>
  <c r="W54" i="2"/>
  <c r="V74" i="2"/>
  <c r="V447" i="2"/>
  <c r="V443" i="2"/>
  <c r="V438" i="2"/>
  <c r="W438" i="2"/>
  <c r="W410" i="2"/>
  <c r="V406" i="2"/>
  <c r="V400" i="2"/>
  <c r="W400" i="2"/>
  <c r="W376" i="2"/>
  <c r="W358" i="2"/>
  <c r="V358" i="2"/>
  <c r="W331" i="2"/>
  <c r="V331" i="2"/>
  <c r="W291" i="2"/>
  <c r="V234" i="2"/>
  <c r="W203" i="2"/>
  <c r="V201" i="2"/>
  <c r="V199" i="2"/>
  <c r="V23" i="2"/>
  <c r="W23" i="2"/>
  <c r="F50" i="19"/>
  <c r="B2" i="20"/>
  <c r="W270" i="2"/>
  <c r="V270" i="2"/>
  <c r="L67" i="12"/>
  <c r="V148" i="2"/>
  <c r="W131" i="2"/>
  <c r="V131" i="2"/>
  <c r="L62" i="12"/>
  <c r="W109" i="2"/>
  <c r="L61" i="12"/>
  <c r="L54" i="12"/>
  <c r="V10" i="2"/>
  <c r="J75" i="12"/>
  <c r="W181" i="2"/>
  <c r="J74" i="12"/>
  <c r="I79" i="12"/>
  <c r="I78" i="12"/>
  <c r="V20" i="2"/>
  <c r="V563" i="2"/>
  <c r="W247" i="2"/>
  <c r="W470" i="2"/>
  <c r="F122" i="12"/>
  <c r="W341" i="2"/>
  <c r="V341" i="2"/>
  <c r="N103" i="12"/>
  <c r="E152" i="4"/>
  <c r="M75" i="12"/>
  <c r="L118" i="12"/>
  <c r="W441" i="2"/>
  <c r="V441" i="2"/>
  <c r="W166" i="2"/>
  <c r="V166" i="2"/>
  <c r="K68" i="12"/>
  <c r="W151" i="2"/>
  <c r="W66" i="2"/>
  <c r="V66" i="2"/>
  <c r="W33" i="2"/>
  <c r="V33" i="2"/>
  <c r="K18" i="12"/>
  <c r="E49" i="12"/>
  <c r="V61" i="3"/>
  <c r="U61" i="3"/>
  <c r="E24" i="12"/>
  <c r="V34" i="3"/>
  <c r="U34" i="3"/>
  <c r="W522" i="2"/>
  <c r="V522" i="2"/>
  <c r="D131" i="12"/>
  <c r="V512" i="2"/>
  <c r="D124" i="12"/>
  <c r="V477" i="2"/>
  <c r="D118" i="12"/>
  <c r="D116" i="12"/>
  <c r="W433" i="2"/>
  <c r="B28" i="12"/>
  <c r="U38" i="3"/>
  <c r="V38" i="3"/>
  <c r="V308" i="2"/>
  <c r="Z30" i="13"/>
  <c r="V291" i="2"/>
  <c r="D121" i="12"/>
  <c r="W84" i="2"/>
  <c r="V55" i="3"/>
  <c r="V463" i="2"/>
  <c r="W463" i="2"/>
  <c r="V426" i="2"/>
  <c r="V292" i="2"/>
  <c r="W292" i="2"/>
  <c r="Z18" i="13"/>
  <c r="B34" i="12"/>
  <c r="Z22" i="13"/>
  <c r="N142" i="12"/>
  <c r="F103" i="4"/>
  <c r="E95" i="4"/>
  <c r="I95" i="4" s="1"/>
  <c r="N104" i="12"/>
  <c r="M55" i="12"/>
  <c r="L114" i="12"/>
  <c r="H73" i="12"/>
  <c r="V175" i="2"/>
  <c r="H70" i="12"/>
  <c r="V161" i="2"/>
  <c r="W152" i="2"/>
  <c r="V152" i="2"/>
  <c r="W303" i="2"/>
  <c r="E95" i="12"/>
  <c r="E93" i="12"/>
  <c r="W293" i="2"/>
  <c r="V283" i="2"/>
  <c r="W283" i="2"/>
  <c r="V193" i="2"/>
  <c r="W180" i="2"/>
  <c r="V180" i="2"/>
  <c r="W86" i="2"/>
  <c r="E60" i="12"/>
  <c r="B156" i="4"/>
  <c r="V49" i="3"/>
  <c r="V176" i="2"/>
  <c r="W266" i="2"/>
  <c r="V32" i="3"/>
  <c r="W261" i="2"/>
  <c r="W300" i="2"/>
  <c r="V262" i="2"/>
  <c r="W512" i="2"/>
  <c r="W90" i="2"/>
  <c r="W472" i="2"/>
  <c r="V197" i="2"/>
  <c r="W224" i="2"/>
  <c r="V480" i="2"/>
  <c r="E74" i="12"/>
  <c r="W327" i="2"/>
  <c r="V287" i="2"/>
  <c r="W161" i="2"/>
  <c r="U47" i="3"/>
  <c r="W175" i="2"/>
  <c r="W257" i="2"/>
  <c r="U55" i="3"/>
  <c r="E91" i="12"/>
  <c r="D127" i="12"/>
  <c r="L113" i="12"/>
  <c r="V33" i="3"/>
  <c r="V332" i="2"/>
  <c r="W288" i="2"/>
  <c r="W371" i="2"/>
  <c r="W366" i="2"/>
  <c r="V366" i="2"/>
  <c r="W337" i="2"/>
  <c r="V333" i="2"/>
  <c r="V300" i="2"/>
  <c r="V295" i="2"/>
  <c r="W295" i="2"/>
  <c r="W269" i="2"/>
  <c r="V269" i="2"/>
  <c r="V264" i="2"/>
  <c r="W264" i="2"/>
  <c r="V254" i="2"/>
  <c r="V250" i="2"/>
  <c r="W239" i="2"/>
  <c r="W173" i="2"/>
  <c r="V173" i="2"/>
  <c r="V84" i="2"/>
  <c r="W48" i="2"/>
  <c r="V48" i="2"/>
  <c r="D2" i="20"/>
  <c r="D50" i="19"/>
  <c r="C52" i="19"/>
  <c r="D52" i="19" s="1"/>
  <c r="V505" i="2"/>
  <c r="W505" i="2"/>
  <c r="W514" i="2"/>
  <c r="V514" i="2"/>
  <c r="V524" i="2"/>
  <c r="W524" i="2"/>
  <c r="N68" i="12"/>
  <c r="B74" i="4"/>
  <c r="I74" i="4" s="1"/>
  <c r="M90" i="12"/>
  <c r="L83" i="12"/>
  <c r="W237" i="2"/>
  <c r="V237" i="2"/>
  <c r="V567" i="2"/>
  <c r="J142" i="12"/>
  <c r="W558" i="2"/>
  <c r="W214" i="2"/>
  <c r="V190" i="2"/>
  <c r="V137" i="2"/>
  <c r="W137" i="2"/>
  <c r="W133" i="2"/>
  <c r="V133" i="2"/>
  <c r="W81" i="2"/>
  <c r="V81" i="2"/>
  <c r="V70" i="2"/>
  <c r="W58" i="2"/>
  <c r="F77" i="12"/>
  <c r="K70" i="12"/>
  <c r="C27" i="12"/>
  <c r="V37" i="3"/>
  <c r="B153" i="4"/>
  <c r="V240" i="2"/>
  <c r="W245" i="2"/>
  <c r="V251" i="2"/>
  <c r="V260" i="2"/>
  <c r="U35" i="3"/>
  <c r="W192" i="2"/>
  <c r="W273" i="2"/>
  <c r="W529" i="2"/>
  <c r="I55" i="12"/>
  <c r="V214" i="2"/>
  <c r="V51" i="2"/>
  <c r="W229" i="2"/>
  <c r="W205" i="2"/>
  <c r="W249" i="2"/>
  <c r="V247" i="2"/>
  <c r="V500" i="2"/>
  <c r="V158" i="2"/>
  <c r="V495" i="2"/>
  <c r="V353" i="2"/>
  <c r="V50" i="3"/>
  <c r="M128" i="12"/>
  <c r="V129" i="2"/>
  <c r="W167" i="2"/>
  <c r="N70" i="12"/>
  <c r="V47" i="3"/>
  <c r="V470" i="2"/>
  <c r="W360" i="2"/>
  <c r="V328" i="2"/>
  <c r="W277" i="2"/>
  <c r="W274" i="2"/>
  <c r="W231" i="2"/>
  <c r="V231" i="2"/>
  <c r="V227" i="2"/>
  <c r="V216" i="2"/>
  <c r="W176" i="2"/>
  <c r="W140" i="2"/>
  <c r="W136" i="2"/>
  <c r="V136" i="2"/>
  <c r="V119" i="2"/>
  <c r="W119" i="2"/>
  <c r="V88" i="2"/>
  <c r="V69" i="2"/>
  <c r="V64" i="2"/>
  <c r="W64" i="2"/>
  <c r="V50" i="2"/>
  <c r="V46" i="2"/>
  <c r="Y22" i="13"/>
  <c r="Y34" i="13"/>
  <c r="K34" i="12"/>
  <c r="V527" i="2"/>
  <c r="W527" i="2"/>
  <c r="N75" i="12"/>
  <c r="B66" i="4"/>
  <c r="M133" i="12"/>
  <c r="M129" i="12"/>
  <c r="M69" i="12"/>
  <c r="M62" i="12"/>
  <c r="V47" i="2"/>
  <c r="F113" i="12"/>
  <c r="F86" i="12"/>
  <c r="F57" i="12"/>
  <c r="C57" i="12"/>
  <c r="V38" i="2"/>
  <c r="W193" i="2"/>
  <c r="V100" i="2"/>
  <c r="W62" i="2"/>
  <c r="V507" i="2"/>
  <c r="N129" i="12"/>
  <c r="E90" i="4"/>
  <c r="L90" i="12"/>
  <c r="K71" i="12"/>
  <c r="W219" i="2"/>
  <c r="B75" i="12"/>
  <c r="F145" i="19"/>
  <c r="W260" i="2"/>
  <c r="V35" i="3"/>
  <c r="U36" i="3"/>
  <c r="V219" i="2"/>
  <c r="Y30" i="13"/>
  <c r="W507" i="2"/>
  <c r="W36" i="2"/>
  <c r="V229" i="2"/>
  <c r="W39" i="2"/>
  <c r="W305" i="2"/>
  <c r="V233" i="2"/>
  <c r="W100" i="2"/>
  <c r="W103" i="2"/>
  <c r="V255" i="2"/>
  <c r="N83" i="12"/>
  <c r="B71" i="12"/>
  <c r="W172" i="2"/>
  <c r="W177" i="2"/>
  <c r="V57" i="3"/>
  <c r="U50" i="3"/>
  <c r="V482" i="2"/>
  <c r="W477" i="2"/>
  <c r="V465" i="2"/>
  <c r="V448" i="2"/>
  <c r="V423" i="2"/>
  <c r="W423" i="2"/>
  <c r="W409" i="2"/>
  <c r="W338" i="2"/>
  <c r="V302" i="2"/>
  <c r="W302" i="2"/>
  <c r="V288" i="2"/>
  <c r="W212" i="2"/>
  <c r="V195" i="2"/>
  <c r="W188" i="2"/>
  <c r="W157" i="2"/>
  <c r="W135" i="2"/>
  <c r="V123" i="2"/>
  <c r="W123" i="2"/>
  <c r="W91" i="2"/>
  <c r="V87" i="2"/>
  <c r="W79" i="2"/>
  <c r="V29" i="2"/>
  <c r="W24" i="2"/>
  <c r="W20" i="2"/>
  <c r="Z23" i="13"/>
  <c r="Z32" i="13"/>
  <c r="H34" i="12"/>
  <c r="K77" i="12"/>
  <c r="V523" i="2"/>
  <c r="W523" i="2"/>
  <c r="V528" i="2"/>
  <c r="W528" i="2"/>
  <c r="W557" i="2"/>
  <c r="N131" i="12"/>
  <c r="E92" i="4"/>
  <c r="M84" i="12"/>
  <c r="M63" i="12"/>
  <c r="V559" i="2"/>
  <c r="V554" i="2"/>
  <c r="J130" i="12"/>
  <c r="W509" i="2"/>
  <c r="V124" i="2"/>
  <c r="W124" i="2"/>
  <c r="G64" i="12"/>
  <c r="G62" i="12"/>
  <c r="G61" i="12"/>
  <c r="W14" i="2"/>
  <c r="F93" i="12"/>
  <c r="W290" i="2"/>
  <c r="F61" i="12"/>
  <c r="V42" i="2"/>
  <c r="V37" i="2"/>
  <c r="V347" i="2"/>
  <c r="V408" i="2"/>
  <c r="W351" i="2"/>
  <c r="V276" i="2"/>
  <c r="V261" i="2"/>
  <c r="W222" i="2"/>
  <c r="W156" i="2"/>
  <c r="W99" i="2"/>
  <c r="W60" i="2"/>
  <c r="V558" i="2"/>
  <c r="E93" i="4"/>
  <c r="N132" i="12"/>
  <c r="E84" i="4"/>
  <c r="I84" i="4" s="1"/>
  <c r="M104" i="12"/>
  <c r="L121" i="12"/>
  <c r="L87" i="12"/>
  <c r="L81" i="12"/>
  <c r="L80" i="12"/>
  <c r="L74" i="12"/>
  <c r="K132" i="12"/>
  <c r="K106" i="12"/>
  <c r="K90" i="12"/>
  <c r="K79" i="12"/>
  <c r="I61" i="12"/>
  <c r="H63" i="12"/>
  <c r="G66" i="12"/>
  <c r="F108" i="12"/>
  <c r="F73" i="12"/>
  <c r="C93" i="12"/>
  <c r="W379" i="2"/>
  <c r="W282" i="2"/>
  <c r="W265" i="2"/>
  <c r="V218" i="2"/>
  <c r="W162" i="2"/>
  <c r="W56" i="2"/>
  <c r="V504" i="2"/>
  <c r="L105" i="12"/>
  <c r="L85" i="12"/>
  <c r="L84" i="12"/>
  <c r="I75" i="12"/>
  <c r="F129" i="12"/>
  <c r="F107" i="12"/>
  <c r="F90" i="12"/>
  <c r="E102" i="12"/>
  <c r="V529" i="2"/>
  <c r="L129" i="12"/>
  <c r="L127" i="12"/>
  <c r="L108" i="12"/>
  <c r="K92" i="12"/>
  <c r="K87" i="12"/>
  <c r="K67" i="12"/>
  <c r="H88" i="12"/>
  <c r="H75" i="12"/>
  <c r="F124" i="12"/>
  <c r="E132" i="12"/>
  <c r="E108" i="12"/>
  <c r="E78" i="12"/>
  <c r="E71" i="12"/>
  <c r="E70" i="12"/>
  <c r="C79" i="12"/>
  <c r="C62" i="12"/>
  <c r="B85" i="12"/>
  <c r="M96" i="12"/>
  <c r="M85" i="12"/>
  <c r="L60" i="12"/>
  <c r="K101" i="12"/>
  <c r="K83" i="12"/>
  <c r="K62" i="12"/>
  <c r="J88" i="12"/>
  <c r="I69" i="12"/>
  <c r="I66" i="12"/>
  <c r="H91" i="12"/>
  <c r="H58" i="12"/>
  <c r="G82" i="12"/>
  <c r="F132" i="12"/>
  <c r="F102" i="12"/>
  <c r="F101" i="12"/>
  <c r="F96" i="12"/>
  <c r="F69" i="12"/>
  <c r="F68" i="12"/>
  <c r="E120" i="12"/>
  <c r="E87" i="12"/>
  <c r="E85" i="12"/>
  <c r="C80" i="12"/>
  <c r="C90" i="12"/>
  <c r="C85" i="12"/>
  <c r="C72" i="12"/>
  <c r="B142" i="12"/>
  <c r="E118" i="17"/>
  <c r="B14" i="17" s="1"/>
  <c r="C89" i="12"/>
  <c r="C88" i="12"/>
  <c r="C86" i="12"/>
  <c r="C64" i="12"/>
  <c r="H55" i="27" l="1"/>
  <c r="C20" i="3" s="1"/>
  <c r="H45" i="27"/>
  <c r="H49" i="27" s="1"/>
  <c r="I77" i="4"/>
  <c r="F77" i="4" s="1"/>
  <c r="I90" i="4"/>
  <c r="F90" i="4" s="1"/>
  <c r="I92" i="4"/>
  <c r="I93" i="4"/>
  <c r="B117" i="20"/>
  <c r="F129" i="19"/>
  <c r="B49" i="20"/>
  <c r="F61" i="19"/>
  <c r="B57" i="20"/>
  <c r="F69" i="19"/>
  <c r="F69" i="4"/>
  <c r="F64" i="19"/>
  <c r="B52" i="20"/>
  <c r="F116" i="19"/>
  <c r="B104" i="20"/>
  <c r="B46" i="20"/>
  <c r="F58" i="19"/>
  <c r="B73" i="20"/>
  <c r="F85" i="19"/>
  <c r="B77" i="20"/>
  <c r="F89" i="19"/>
  <c r="F112" i="19"/>
  <c r="B100" i="20"/>
  <c r="F123" i="19"/>
  <c r="B111" i="20"/>
  <c r="B118" i="20"/>
  <c r="F130" i="19"/>
  <c r="B61" i="20"/>
  <c r="F73" i="19"/>
  <c r="F115" i="19"/>
  <c r="B103" i="20"/>
  <c r="F92" i="4"/>
  <c r="B75" i="20"/>
  <c r="F87" i="19"/>
  <c r="F100" i="4"/>
  <c r="B83" i="20"/>
  <c r="F95" i="19"/>
  <c r="F107" i="19"/>
  <c r="B95" i="20"/>
  <c r="F91" i="4"/>
  <c r="B54" i="20"/>
  <c r="F66" i="19"/>
  <c r="B51" i="20"/>
  <c r="F63" i="19"/>
  <c r="B71" i="20"/>
  <c r="F83" i="19"/>
  <c r="F88" i="19"/>
  <c r="B76" i="20"/>
  <c r="B90" i="20"/>
  <c r="F102" i="19"/>
  <c r="B45" i="20"/>
  <c r="F57" i="19"/>
  <c r="F132" i="19"/>
  <c r="B120" i="20"/>
  <c r="F131" i="19"/>
  <c r="B119" i="20"/>
  <c r="F99" i="4"/>
  <c r="B122" i="20"/>
  <c r="F134" i="19"/>
  <c r="F127" i="19"/>
  <c r="B115" i="20"/>
  <c r="F124" i="19"/>
  <c r="B112" i="20"/>
  <c r="B60" i="20"/>
  <c r="F72" i="19"/>
  <c r="F83" i="4"/>
  <c r="B66" i="20"/>
  <c r="F78" i="19"/>
  <c r="F89" i="4"/>
  <c r="F84" i="19"/>
  <c r="B72" i="20"/>
  <c r="B93" i="20"/>
  <c r="F105" i="19"/>
  <c r="F108" i="19"/>
  <c r="B96" i="20"/>
  <c r="F97" i="4"/>
  <c r="F92" i="19"/>
  <c r="B80" i="20"/>
  <c r="B65" i="20"/>
  <c r="F77" i="19"/>
  <c r="F95" i="4"/>
  <c r="F93" i="4"/>
  <c r="F85" i="4"/>
  <c r="F88" i="4"/>
  <c r="F76" i="4"/>
  <c r="F94" i="4"/>
  <c r="F78" i="4"/>
  <c r="F74" i="4"/>
  <c r="F71" i="4"/>
  <c r="F68" i="4"/>
  <c r="F63" i="4"/>
  <c r="E150" i="4"/>
  <c r="F60" i="4"/>
  <c r="F73" i="4"/>
  <c r="F82" i="4"/>
  <c r="B158" i="4"/>
  <c r="B152" i="4"/>
  <c r="C50" i="13"/>
  <c r="H25" i="27"/>
  <c r="G27" i="27" s="1"/>
  <c r="J14" i="12"/>
  <c r="D25" i="3"/>
  <c r="A12" i="27"/>
  <c r="D22" i="3"/>
  <c r="C22" i="3" s="1"/>
  <c r="E151" i="4"/>
  <c r="I143" i="12"/>
  <c r="F102" i="4"/>
  <c r="H143" i="12"/>
  <c r="M143" i="12"/>
  <c r="E143" i="12"/>
  <c r="N143" i="12"/>
  <c r="W8" i="2"/>
  <c r="G143" i="12"/>
  <c r="B143" i="12"/>
  <c r="A4" i="27"/>
  <c r="D45" i="28"/>
  <c r="K55" i="28"/>
  <c r="M55" i="28" s="1"/>
  <c r="P57" i="28" s="1"/>
  <c r="F96" i="4"/>
  <c r="F15" i="4"/>
  <c r="C143" i="12"/>
  <c r="C40" i="13"/>
  <c r="K13" i="13"/>
  <c r="K143" i="12"/>
  <c r="K95" i="28"/>
  <c r="M101" i="28"/>
  <c r="H7" i="28"/>
  <c r="D37" i="27"/>
  <c r="A6" i="27"/>
  <c r="C41" i="28"/>
  <c r="F13" i="19"/>
  <c r="D10" i="4"/>
  <c r="N14" i="12"/>
  <c r="B8" i="20"/>
  <c r="D14" i="4"/>
  <c r="B12" i="20"/>
  <c r="F17" i="19"/>
  <c r="N18" i="12"/>
  <c r="T28" i="3"/>
  <c r="H21" i="3"/>
  <c r="B11" i="12" s="1"/>
  <c r="S21" i="3"/>
  <c r="M11" i="12" s="1"/>
  <c r="O21" i="3"/>
  <c r="I11" i="12" s="1"/>
  <c r="P21" i="3"/>
  <c r="J11" i="12" s="1"/>
  <c r="J21" i="3"/>
  <c r="D11" i="12" s="1"/>
  <c r="T21" i="3"/>
  <c r="I21" i="3"/>
  <c r="C11" i="12" s="1"/>
  <c r="D7" i="4"/>
  <c r="N21" i="3"/>
  <c r="H11" i="12" s="1"/>
  <c r="K21" i="3"/>
  <c r="E11" i="12" s="1"/>
  <c r="L21" i="3"/>
  <c r="F11" i="12" s="1"/>
  <c r="R21" i="3"/>
  <c r="L11" i="12" s="1"/>
  <c r="F10" i="19"/>
  <c r="M21" i="3"/>
  <c r="G11" i="12" s="1"/>
  <c r="Q21" i="3"/>
  <c r="K11" i="12" s="1"/>
  <c r="N11" i="12"/>
  <c r="M13" i="12"/>
  <c r="H16" i="27"/>
  <c r="J143" i="12"/>
  <c r="F143" i="12"/>
  <c r="H5" i="2"/>
  <c r="B155" i="4"/>
  <c r="B161" i="4"/>
  <c r="D143" i="12"/>
  <c r="Z15" i="13"/>
  <c r="L143" i="12"/>
  <c r="E160" i="4" l="1"/>
  <c r="C25" i="3"/>
  <c r="T25" i="3"/>
  <c r="P25" i="3"/>
  <c r="K25" i="3"/>
  <c r="D6" i="4"/>
  <c r="F455" i="2"/>
  <c r="E80" i="4" s="1"/>
  <c r="E104" i="4" s="1"/>
  <c r="H56" i="27"/>
  <c r="F9" i="19"/>
  <c r="G28" i="27"/>
  <c r="Q22" i="3"/>
  <c r="K12" i="12" s="1"/>
  <c r="J22" i="3"/>
  <c r="D12" i="12" s="1"/>
  <c r="K22" i="3"/>
  <c r="E12" i="12" s="1"/>
  <c r="H22" i="3"/>
  <c r="N22" i="3"/>
  <c r="H12" i="12" s="1"/>
  <c r="O22" i="3"/>
  <c r="I12" i="12" s="1"/>
  <c r="R22" i="3"/>
  <c r="L12" i="12" s="1"/>
  <c r="M22" i="3"/>
  <c r="G12" i="12" s="1"/>
  <c r="D8" i="4"/>
  <c r="L22" i="3"/>
  <c r="F12" i="12" s="1"/>
  <c r="I22" i="3"/>
  <c r="C12" i="12" s="1"/>
  <c r="P22" i="3"/>
  <c r="J12" i="12" s="1"/>
  <c r="T22" i="3"/>
  <c r="S22" i="3"/>
  <c r="N12" i="12"/>
  <c r="F11" i="19"/>
  <c r="D27" i="3"/>
  <c r="C27" i="3" s="1"/>
  <c r="E14" i="12"/>
  <c r="V28" i="3"/>
  <c r="U28" i="3"/>
  <c r="V21" i="3"/>
  <c r="U21" i="3"/>
  <c r="M14" i="12"/>
  <c r="V24" i="3"/>
  <c r="U24" i="3"/>
  <c r="U23" i="3"/>
  <c r="F119" i="19" l="1"/>
  <c r="F143" i="19" s="1"/>
  <c r="B107" i="20"/>
  <c r="G29" i="27"/>
  <c r="H30" i="27" s="1"/>
  <c r="H40" i="27" s="1"/>
  <c r="S25" i="3"/>
  <c r="M15" i="12" s="1"/>
  <c r="E15" i="12"/>
  <c r="F573" i="2"/>
  <c r="E112" i="4"/>
  <c r="E115" i="4" s="1"/>
  <c r="N17" i="12"/>
  <c r="F16" i="19"/>
  <c r="B11" i="20"/>
  <c r="D13" i="4"/>
  <c r="T27" i="3"/>
  <c r="K27" i="3"/>
  <c r="E17" i="12" s="1"/>
  <c r="R56" i="28"/>
  <c r="M12" i="12"/>
  <c r="B12" i="12"/>
  <c r="H51" i="27" l="1"/>
  <c r="F84" i="4"/>
  <c r="U27" i="3"/>
  <c r="V27" i="3"/>
  <c r="F14" i="19"/>
  <c r="B9" i="20"/>
  <c r="J15" i="12"/>
  <c r="D11" i="4"/>
  <c r="N15" i="12"/>
  <c r="D12" i="4"/>
  <c r="V22" i="3"/>
  <c r="U22" i="3"/>
  <c r="H58" i="27" l="1"/>
  <c r="U25" i="3"/>
  <c r="V25" i="3"/>
  <c r="O19" i="3" l="1"/>
  <c r="I10" i="12" s="1"/>
  <c r="I50" i="12" s="1"/>
  <c r="J19" i="3"/>
  <c r="D10" i="12" s="1"/>
  <c r="D50" i="12" s="1"/>
  <c r="L19" i="3"/>
  <c r="F10" i="12" s="1"/>
  <c r="F50" i="12" s="1"/>
  <c r="H19" i="3"/>
  <c r="B10" i="12" s="1"/>
  <c r="B50" i="12" s="1"/>
  <c r="B147" i="12" s="1"/>
  <c r="B148" i="12" s="1"/>
  <c r="T19" i="3"/>
  <c r="I19" i="3"/>
  <c r="C10" i="12" s="1"/>
  <c r="C50" i="12" s="1"/>
  <c r="K19" i="3"/>
  <c r="E10" i="12" s="1"/>
  <c r="E50" i="12" s="1"/>
  <c r="N10" i="12"/>
  <c r="N50" i="12" s="1"/>
  <c r="R19" i="3"/>
  <c r="L10" i="12" s="1"/>
  <c r="L50" i="12" s="1"/>
  <c r="Q19" i="3"/>
  <c r="K10" i="12" s="1"/>
  <c r="K50" i="12" s="1"/>
  <c r="F8" i="19"/>
  <c r="F52" i="19" s="1"/>
  <c r="P19" i="3"/>
  <c r="J10" i="12" s="1"/>
  <c r="J50" i="12" s="1"/>
  <c r="M19" i="3"/>
  <c r="G10" i="12" s="1"/>
  <c r="G50" i="12" s="1"/>
  <c r="E43" i="3"/>
  <c r="E63" i="3" s="1"/>
  <c r="D122" i="4" s="1"/>
  <c r="A189" i="4" s="1"/>
  <c r="N19" i="3"/>
  <c r="H10" i="12" s="1"/>
  <c r="H50" i="12" s="1"/>
  <c r="S19" i="3"/>
  <c r="M10" i="12" s="1"/>
  <c r="M50" i="12" s="1"/>
  <c r="D5" i="4"/>
  <c r="E29" i="4" s="1"/>
  <c r="A190" i="4" s="1"/>
  <c r="E56" i="4" l="1"/>
  <c r="E145" i="4" s="1"/>
  <c r="E146" i="4" s="1"/>
  <c r="E162" i="4"/>
  <c r="E164" i="4" s="1"/>
  <c r="A188" i="4" s="1"/>
  <c r="E108" i="4"/>
  <c r="E111" i="4" s="1"/>
  <c r="E117" i="4" s="1"/>
  <c r="F117" i="4" s="1"/>
  <c r="E3" i="2"/>
  <c r="D3" i="2" s="1"/>
  <c r="C145" i="12"/>
  <c r="C147" i="12" s="1"/>
  <c r="C148" i="12" s="1"/>
  <c r="U19" i="3"/>
  <c r="G5" i="3" s="1"/>
  <c r="V19" i="3"/>
  <c r="V6" i="3" s="1"/>
  <c r="A117" i="4" l="1"/>
  <c r="A187" i="4" s="1"/>
  <c r="A186" i="4" s="1"/>
  <c r="D145" i="12"/>
  <c r="D147" i="12" s="1"/>
  <c r="D148" i="12" s="1"/>
  <c r="I187" i="4" l="1"/>
  <c r="I189" i="4" s="1"/>
  <c r="A185" i="4" s="1"/>
  <c r="E145" i="12"/>
  <c r="E147" i="12" s="1"/>
  <c r="E148" i="12" s="1"/>
  <c r="F145" i="12" l="1"/>
  <c r="F147" i="12" s="1"/>
  <c r="F148" i="12" s="1"/>
  <c r="G145" i="12" l="1"/>
  <c r="G147" i="12" s="1"/>
  <c r="H145" i="12" s="1"/>
  <c r="H147" i="12" s="1"/>
  <c r="I145" i="12" s="1"/>
  <c r="I147" i="12" s="1"/>
  <c r="I148" i="12" s="1"/>
  <c r="J145" i="12" l="1"/>
  <c r="J147" i="12" s="1"/>
  <c r="J148" i="12" s="1"/>
  <c r="H148" i="12"/>
  <c r="G148" i="12"/>
  <c r="K145" i="12" l="1"/>
  <c r="K147" i="12" s="1"/>
  <c r="K148" i="12" s="1"/>
  <c r="L145" i="12" l="1"/>
  <c r="L147" i="12" s="1"/>
  <c r="M145" i="12" s="1"/>
  <c r="M147" i="12" s="1"/>
  <c r="M148" i="12" s="1"/>
  <c r="L148" i="12" l="1"/>
  <c r="N148" i="12" s="1"/>
  <c r="B2" i="12" s="1"/>
</calcChain>
</file>

<file path=xl/comments1.xml><?xml version="1.0" encoding="utf-8"?>
<comments xmlns="http://schemas.openxmlformats.org/spreadsheetml/2006/main">
  <authors>
    <author xml:space="preserve"> </author>
  </authors>
  <commentList>
    <comment ref="D122" authorId="0" shapeId="0">
      <text>
        <r>
          <rPr>
            <b/>
            <sz val="8"/>
            <color indexed="81"/>
            <rFont val="Tahoma"/>
            <family val="2"/>
          </rPr>
          <t>Warning! 
If this figure is less than zero, you have set a deficit budget</t>
        </r>
      </text>
    </comment>
  </commentList>
</comments>
</file>

<file path=xl/comments2.xml><?xml version="1.0" encoding="utf-8"?>
<comments xmlns="http://schemas.openxmlformats.org/spreadsheetml/2006/main">
  <authors>
    <author>G</author>
    <author>Graeme Ruffels</author>
  </authors>
  <commentList>
    <comment ref="C8" authorId="0" shapeId="0">
      <text>
        <r>
          <rPr>
            <b/>
            <sz val="8"/>
            <color indexed="81"/>
            <rFont val="Tahoma"/>
            <family val="2"/>
          </rPr>
          <t>By overtyping the default descriptions, you can, if you prefer, use rows in this column to show budget allocation sub headings instead of ledger code descriptions.</t>
        </r>
      </text>
    </comment>
    <comment ref="A126" authorId="1" shapeId="0">
      <text>
        <r>
          <rPr>
            <b/>
            <sz val="10"/>
            <color indexed="81"/>
            <rFont val="Tahoma"/>
            <family val="2"/>
          </rPr>
          <t>Can include: adult meals, advertising, agency finder fee, CRB checks, medical fees, relocation insurance</t>
        </r>
        <r>
          <rPr>
            <sz val="8"/>
            <color indexed="81"/>
            <rFont val="Tahoma"/>
            <family val="2"/>
          </rPr>
          <t xml:space="preserve">
</t>
        </r>
      </text>
    </comment>
    <comment ref="A186" authorId="1" shapeId="0">
      <text>
        <r>
          <rPr>
            <b/>
            <sz val="10"/>
            <color indexed="81"/>
            <rFont val="Tahoma"/>
            <family val="2"/>
          </rPr>
          <t>Can include: general building maintenance, alarm system rental/maintenance, AVS annual electrical check, boiler - annual service &amp; repairs, drain clearing, fire alarm service, fire equipment check, flooring, flourescent tube replacement, glazing, lightning conductor test, PE equipment check, surveyor's fees, water tank cleaning - annual fee</t>
        </r>
        <r>
          <rPr>
            <sz val="8"/>
            <color indexed="81"/>
            <rFont val="Tahoma"/>
            <family val="2"/>
          </rPr>
          <t xml:space="preserve">
</t>
        </r>
      </text>
    </comment>
    <comment ref="A212" authorId="1" shapeId="0">
      <text>
        <r>
          <rPr>
            <b/>
            <sz val="10"/>
            <color indexed="81"/>
            <rFont val="Tahoma"/>
            <family val="2"/>
          </rPr>
          <t>Can include: general cleaning materials, air fresheners, black sacks, cleaning contract, cleaning equipment repairs, pest control, refuse collection, roller towels, skip hire, window cleaning, first aid</t>
        </r>
        <r>
          <rPr>
            <sz val="8"/>
            <color indexed="81"/>
            <rFont val="Tahoma"/>
            <family val="2"/>
          </rPr>
          <t xml:space="preserve">
</t>
        </r>
      </text>
    </comment>
    <comment ref="A224" authorId="1" shapeId="0">
      <text>
        <r>
          <rPr>
            <b/>
            <sz val="10"/>
            <color indexed="81"/>
            <rFont val="Tahoma"/>
            <family val="2"/>
          </rPr>
          <t>Can include: Electricity, gas, oil</t>
        </r>
        <r>
          <rPr>
            <sz val="8"/>
            <color indexed="81"/>
            <rFont val="Tahoma"/>
            <family val="2"/>
          </rPr>
          <t xml:space="preserve">
</t>
        </r>
      </text>
    </comment>
    <comment ref="A229" authorId="1" shapeId="0">
      <text>
        <r>
          <rPr>
            <b/>
            <sz val="10"/>
            <color indexed="81"/>
            <rFont val="Tahoma"/>
            <family val="2"/>
          </rPr>
          <t>Can include: Water charges, sewerage charges, caretaker's water rates contribution</t>
        </r>
        <r>
          <rPr>
            <sz val="8"/>
            <color indexed="81"/>
            <rFont val="Tahoma"/>
            <family val="2"/>
          </rPr>
          <t xml:space="preserve">
</t>
        </r>
      </text>
    </comment>
    <comment ref="A236" authorId="1" shapeId="0">
      <text>
        <r>
          <rPr>
            <b/>
            <sz val="10"/>
            <color indexed="81"/>
            <rFont val="Tahoma"/>
            <family val="2"/>
          </rPr>
          <t>As per Section 251 Budget Statement</t>
        </r>
      </text>
    </comment>
    <comment ref="A345" authorId="1" shapeId="0">
      <text>
        <r>
          <rPr>
            <b/>
            <sz val="10"/>
            <color indexed="81"/>
            <rFont val="Tahoma"/>
            <family val="2"/>
          </rPr>
          <t>Can include: general office exp, anti-virus upgrade, backup tapes, fax cartridges, franking machine, franking machine ink cartridges &amp; postal chip, hardware maintenance, headed paper, printer cartridges, printer maintenance, registers</t>
        </r>
        <r>
          <rPr>
            <sz val="8"/>
            <color indexed="81"/>
            <rFont val="Tahoma"/>
            <family val="2"/>
          </rPr>
          <t xml:space="preserve">
</t>
        </r>
      </text>
    </comment>
    <comment ref="A363" authorId="1" shapeId="0">
      <text>
        <r>
          <rPr>
            <b/>
            <sz val="10"/>
            <color indexed="81"/>
            <rFont val="Tahoma"/>
            <family val="2"/>
          </rPr>
          <t>Can include: calls &amp; rental for main phone, fax, modem &amp; boiler modem, contract rental for phone system, phone income</t>
        </r>
      </text>
    </comment>
    <comment ref="A368" authorId="1" shapeId="0">
      <text>
        <r>
          <rPr>
            <b/>
            <sz val="10"/>
            <color indexed="81"/>
            <rFont val="Tahoma"/>
            <family val="2"/>
          </rPr>
          <t>Can include: copier rental, usage, risograph ink &amp; master, paper</t>
        </r>
      </text>
    </comment>
    <comment ref="A404" authorId="1" shapeId="0">
      <text>
        <r>
          <rPr>
            <b/>
            <sz val="10"/>
            <color indexed="81"/>
            <rFont val="Tahoma"/>
            <family val="2"/>
          </rPr>
          <t>Can include: A-Z Gold Service; subscriptions - Hd's Assoc &amp; governor services; Capita admin support contract; Christian copyright; fees - clerking, Payroll, Exchequers Services, Financial Services, Personnel &amp; Legal; responsible officer; piano tuning; licences - software &amp; TV</t>
        </r>
        <r>
          <rPr>
            <sz val="8"/>
            <color indexed="81"/>
            <rFont val="Tahoma"/>
            <family val="2"/>
          </rPr>
          <t xml:space="preserve">
</t>
        </r>
      </text>
    </comment>
  </commentList>
</comments>
</file>

<file path=xl/comments3.xml><?xml version="1.0" encoding="utf-8"?>
<comments xmlns="http://schemas.openxmlformats.org/spreadsheetml/2006/main">
  <authors>
    <author>Graeme.Ruffels</author>
    <author>graeme.ruffels</author>
  </authors>
  <commentList>
    <comment ref="M1" authorId="0" shapeId="0">
      <text>
        <r>
          <rPr>
            <b/>
            <sz val="9"/>
            <color indexed="81"/>
            <rFont val="Tahoma"/>
            <family val="2"/>
          </rPr>
          <t>equal to prior year PFI</t>
        </r>
        <r>
          <rPr>
            <sz val="9"/>
            <color indexed="81"/>
            <rFont val="Tahoma"/>
            <family val="2"/>
          </rPr>
          <t xml:space="preserve">
</t>
        </r>
      </text>
    </comment>
    <comment ref="B246" authorId="1" shapeId="0">
      <text>
        <r>
          <rPr>
            <b/>
            <sz val="9"/>
            <color indexed="81"/>
            <rFont val="Tahoma"/>
            <family val="2"/>
          </rPr>
          <t>graeme.ruffels:</t>
        </r>
        <r>
          <rPr>
            <sz val="9"/>
            <color indexed="81"/>
            <rFont val="Tahoma"/>
            <family val="2"/>
          </rPr>
          <t xml:space="preserve">
based on Lexden Primary</t>
        </r>
      </text>
    </comment>
  </commentList>
</comments>
</file>

<file path=xl/comments4.xml><?xml version="1.0" encoding="utf-8"?>
<comments xmlns="http://schemas.openxmlformats.org/spreadsheetml/2006/main">
  <authors>
    <author>Graeme.Ruffels</author>
  </authors>
  <commentList>
    <comment ref="H13" authorId="0" shapeId="0">
      <text>
        <r>
          <rPr>
            <b/>
            <sz val="9"/>
            <color indexed="81"/>
            <rFont val="Tahoma"/>
            <family val="2"/>
          </rPr>
          <t>e.g. If funding has been agreed for an estimated additional intake of 30 pupils in the autumn term, then the funded estimated pupil number would be 30*7/12 = 17.5.  This is because funding for these additional pupils is only awarded for seven months of the year (September to March)</t>
        </r>
        <r>
          <rPr>
            <sz val="9"/>
            <color indexed="81"/>
            <rFont val="Tahoma"/>
            <family val="2"/>
          </rPr>
          <t xml:space="preserve">
</t>
        </r>
      </text>
    </comment>
  </commentList>
</comments>
</file>

<file path=xl/comments5.xml><?xml version="1.0" encoding="utf-8"?>
<comments xmlns="http://schemas.openxmlformats.org/spreadsheetml/2006/main">
  <authors>
    <author>graeme.ruffels</author>
  </authors>
  <commentList>
    <comment ref="P70" authorId="0" shapeId="0">
      <text>
        <r>
          <rPr>
            <sz val="9"/>
            <color indexed="81"/>
            <rFont val="Tahoma"/>
            <family val="2"/>
          </rPr>
          <t>50% x 7/12 x Cost of MS11 teacher with S'ann on 2019-20 teachers salary calculator, with an assumed 2.75% cost of living increase in September.  This follows the methodolgy applied in previous years</t>
        </r>
      </text>
    </comment>
  </commentList>
</comments>
</file>

<file path=xl/comments6.xml><?xml version="1.0" encoding="utf-8"?>
<comments xmlns="http://schemas.openxmlformats.org/spreadsheetml/2006/main">
  <authors>
    <author>essexcc.desktopa</author>
    <author>Graeme Ruffels</author>
  </authors>
  <commentList>
    <comment ref="B4" authorId="0" shapeId="0">
      <text>
        <r>
          <rPr>
            <b/>
            <sz val="12"/>
            <color indexed="81"/>
            <rFont val="Tahoma"/>
            <family val="2"/>
          </rPr>
          <t>This should equal the sum of your cash in hand and cash at bank as shown on your 2019-20 Year-end Balance Sheet (adjusted for unpresented cheques), and should include both revenue and capital funds held at the bank</t>
        </r>
        <r>
          <rPr>
            <sz val="8"/>
            <color indexed="81"/>
            <rFont val="Tahoma"/>
            <family val="2"/>
          </rPr>
          <t xml:space="preserve">
</t>
        </r>
      </text>
    </comment>
    <comment ref="A34" authorId="1" shapeId="0">
      <text>
        <r>
          <rPr>
            <sz val="10"/>
            <color indexed="81"/>
            <rFont val="Tahoma"/>
            <family val="2"/>
          </rPr>
          <t>Excludes revenue contribution</t>
        </r>
        <r>
          <rPr>
            <sz val="8"/>
            <color indexed="81"/>
            <rFont val="Tahoma"/>
            <family val="2"/>
          </rPr>
          <t xml:space="preserve">
</t>
        </r>
      </text>
    </comment>
  </commentList>
</comments>
</file>

<file path=xl/sharedStrings.xml><?xml version="1.0" encoding="utf-8"?>
<sst xmlns="http://schemas.openxmlformats.org/spreadsheetml/2006/main" count="2179" uniqueCount="1097">
  <si>
    <r>
      <t xml:space="preserve">You may type numbers directly into the yellow 'month' cells if predicted cash inflows or outflows do not follow one of the automatic profile options. However, if you do this it is important to select the 'Manual' profile option in the 'Profile' column so that it is clear to anyone looking at the page that this is what has been done.
</t>
    </r>
    <r>
      <rPr>
        <b/>
        <sz val="11"/>
        <rFont val="Arial"/>
        <family val="2"/>
      </rPr>
      <t>NB:</t>
    </r>
    <r>
      <rPr>
        <sz val="11"/>
        <rFont val="Arial"/>
        <family val="2"/>
      </rPr>
      <t xml:space="preserve"> If, after manually typing monthly cash figures into cells on a particular line, you then decide to use one of the automatic profiles after all, you will need to reinstate the underlying formulae.  You can do this by highlighting the row of yellow cells (e.g cells H6 to S6 on the </t>
    </r>
    <r>
      <rPr>
        <b/>
        <sz val="11"/>
        <rFont val="Arial"/>
        <family val="2"/>
      </rPr>
      <t>Income</t>
    </r>
    <r>
      <rPr>
        <sz val="11"/>
        <rFont val="Arial"/>
        <family val="2"/>
      </rPr>
      <t xml:space="preserve"> page) and selecting 'Edit', 'Copy' from the main toolbar, clicking on the 'April' cell of the row in which you wish to reinstate the formulae and selecting 'Edit',  'Paste', (e.g to reinstate data on row 34 of the Income page select cell H34 ). The formulae will now be reinstated and profiles can be calculated automatically by selecting a profile option from the drop down list in the 'Profile' column.</t>
    </r>
  </si>
  <si>
    <t>Abacus Primary</t>
  </si>
  <si>
    <t>All Saints CE P Dovercourt Harwich</t>
  </si>
  <si>
    <t>All Saints CE P Fordham</t>
  </si>
  <si>
    <t>All Saints CE P Maldon</t>
  </si>
  <si>
    <t>All Saints'CE (Aided) P Great Oakley</t>
  </si>
  <si>
    <t>Alresford C P</t>
  </si>
  <si>
    <t>Ashdon C P</t>
  </si>
  <si>
    <t>Baddow Hall C I Gt Baddow</t>
  </si>
  <si>
    <t>Baddow Hall C J Gt Baddow</t>
  </si>
  <si>
    <t>Baynards C P Tiptree</t>
  </si>
  <si>
    <t>Beckers Green C P Braintree</t>
  </si>
  <si>
    <t>Beehive Lane C P Gt Baddow</t>
  </si>
  <si>
    <t>Bentfield C P Stansted</t>
  </si>
  <si>
    <t>Bentley St Pauls CE P</t>
  </si>
  <si>
    <t>Birch CE (V/A) P</t>
  </si>
  <si>
    <t>Birchanger CE P</t>
  </si>
  <si>
    <t>Bishop William Ward CE P Gt Horkesley</t>
  </si>
  <si>
    <t>Bishops CE &amp; RC P The Chelmsford</t>
  </si>
  <si>
    <t>Blackmore C P</t>
  </si>
  <si>
    <t>Bocking Church Street C P</t>
  </si>
  <si>
    <t>Boreham C P</t>
  </si>
  <si>
    <t>Boxted CE P</t>
  </si>
  <si>
    <t>Bradfield C P</t>
  </si>
  <si>
    <t>Brightside Primary School</t>
  </si>
  <si>
    <t>Brinkley Grove Primary School</t>
  </si>
  <si>
    <t>Broomfield Primary School</t>
  </si>
  <si>
    <t>Broomgrove C I Wivenhoe</t>
  </si>
  <si>
    <t>Broomgrove C J Wivenhoe</t>
  </si>
  <si>
    <t>Buckhurst Hill C P</t>
  </si>
  <si>
    <t>Burnham on Crouch C P</t>
  </si>
  <si>
    <t>Buttsbury Infant School</t>
  </si>
  <si>
    <t>Canewdon Endowed P &amp; N</t>
  </si>
  <si>
    <t>Canvey C I Canvey Island</t>
  </si>
  <si>
    <t>Canvey C J Canvey Island</t>
  </si>
  <si>
    <t>Cathedral School</t>
  </si>
  <si>
    <t>Chancellor Park</t>
  </si>
  <si>
    <t>Chappel CE P</t>
  </si>
  <si>
    <t>Chase Lane Primary School</t>
  </si>
  <si>
    <t>Chrishall Holy Trinity &amp; St NicholasCE P</t>
  </si>
  <si>
    <t>Church Langley C P Harlow</t>
  </si>
  <si>
    <t>Churchgate CE P Harlow</t>
  </si>
  <si>
    <t>Clavering C P</t>
  </si>
  <si>
    <t>Cold Norton C P</t>
  </si>
  <si>
    <t>Collingwood Primary School</t>
  </si>
  <si>
    <t>Coopersale &amp; Theydon Garnon CE P</t>
  </si>
  <si>
    <t>Copford CE P</t>
  </si>
  <si>
    <t>Cressing C P</t>
  </si>
  <si>
    <t>Danbury Park C P</t>
  </si>
  <si>
    <t>De Vere C P Castle Hedingham</t>
  </si>
  <si>
    <t>Dedham CE P</t>
  </si>
  <si>
    <t>Doddinghurst C I</t>
  </si>
  <si>
    <t>Down Hall C P Rayleigh</t>
  </si>
  <si>
    <t>Downham CE P</t>
  </si>
  <si>
    <t>Dunmow St Marys CE Primary School</t>
  </si>
  <si>
    <t>Earls Colne Primary School</t>
  </si>
  <si>
    <t>East Hanningfield CE P</t>
  </si>
  <si>
    <t>Additional Funding</t>
  </si>
  <si>
    <t>This sheet allows you to estimate funding allocations that your school may be due in addition to the Schools, High Needs &amp; Early Years Funding Blocks. Separate funding estimators are included for:</t>
  </si>
  <si>
    <t>1) Pupil Premium Funding</t>
  </si>
  <si>
    <t>Estimated Significant Pupil Increase (Trigger) Funding</t>
  </si>
  <si>
    <t>less</t>
  </si>
  <si>
    <t>Qualifying level of pupils</t>
  </si>
  <si>
    <t>Each additional pupil in excess of the qualifying level</t>
  </si>
  <si>
    <r>
      <t>Pupil Premium:</t>
    </r>
    <r>
      <rPr>
        <sz val="11"/>
        <rFont val="Arial"/>
        <family val="2"/>
      </rPr>
      <t xml:space="preserve"> Infant, Junior, Primary, Secondary &amp; Special Schools</t>
    </r>
  </si>
  <si>
    <t>Eight Ash Green CE P</t>
  </si>
  <si>
    <t>Elmstead Primary School</t>
  </si>
  <si>
    <t>Elmwood Primary School</t>
  </si>
  <si>
    <t>Elsenham CE P</t>
  </si>
  <si>
    <t>Engaines Primary School</t>
  </si>
  <si>
    <t>Epping Primary</t>
  </si>
  <si>
    <t>Eversley C P Pitsea</t>
  </si>
  <si>
    <t>Farnham CE P</t>
  </si>
  <si>
    <t>Felsted C P</t>
  </si>
  <si>
    <t>Finchingfield CE P</t>
  </si>
  <si>
    <t>Fingringhoe CE (Aided) P</t>
  </si>
  <si>
    <t>Ford End CE P</t>
  </si>
  <si>
    <t>Friars Grove C P Colchester</t>
  </si>
  <si>
    <t>Frinton C P</t>
  </si>
  <si>
    <t>Fyfield Dr Walker's CE P</t>
  </si>
  <si>
    <t>Galleywood C I</t>
  </si>
  <si>
    <t>Gosbecks C P Colchester</t>
  </si>
  <si>
    <t>Grange CP Wickford</t>
  </si>
  <si>
    <t>Great Bardfield C P</t>
  </si>
  <si>
    <t>Great Bentley C P</t>
  </si>
  <si>
    <t>Great Bradfords C I &amp; N Braintree</t>
  </si>
  <si>
    <t>Great Bradfords C J Braintree</t>
  </si>
  <si>
    <t>Great Dunmow Primary School</t>
  </si>
  <si>
    <t>Great Easton CE (Aided) P</t>
  </si>
  <si>
    <t>Great Leighs C P</t>
  </si>
  <si>
    <t>Great Sampford C P</t>
  </si>
  <si>
    <t>Great Tey CE (Cont) P</t>
  </si>
  <si>
    <t>Great Totham Primary School</t>
  </si>
  <si>
    <t>Great Waltham CE P</t>
  </si>
  <si>
    <t>Hamilton C P Colchester</t>
  </si>
  <si>
    <t>Hare Street Primary School</t>
  </si>
  <si>
    <t>Harwich C P &amp; N</t>
  </si>
  <si>
    <t>Hatfield Peverel C I</t>
  </si>
  <si>
    <t>Hazelmere C I &amp; N Colchester</t>
  </si>
  <si>
    <t>Hazelmere C J Colchester</t>
  </si>
  <si>
    <t>Heathlands CE P West Bergholt</t>
  </si>
  <si>
    <t>Henham &amp; Ugley C P</t>
  </si>
  <si>
    <t>Highfields C P Lawford</t>
  </si>
  <si>
    <t>Highwood C P</t>
  </si>
  <si>
    <t>Hogarth C P Brentwood</t>
  </si>
  <si>
    <t>Holland Haven Primary School</t>
  </si>
  <si>
    <t>Holly Trees Primary, Brentwood</t>
  </si>
  <si>
    <t>Holt Farm C I Hawkwell</t>
  </si>
  <si>
    <t>Holy Family RC P Witham</t>
  </si>
  <si>
    <t>Holy Trinity CE P Halstead</t>
  </si>
  <si>
    <t>Home Farm C P Colchester</t>
  </si>
  <si>
    <t>Howbridge Infant School</t>
  </si>
  <si>
    <t>Ingatestone &amp; Fryerning CE (A) J</t>
  </si>
  <si>
    <t>Ingatestone C I</t>
  </si>
  <si>
    <t>Ingrave Johnstone CE P</t>
  </si>
  <si>
    <t>John Ray C I Braintree</t>
  </si>
  <si>
    <t>Kelvedon Hatch C P</t>
  </si>
  <si>
    <t>Kendall CE P Colchester</t>
  </si>
  <si>
    <t>Kings Ford C I &amp; N Colchester</t>
  </si>
  <si>
    <t>Langenhoe C P</t>
  </si>
  <si>
    <t>Langham C P</t>
  </si>
  <si>
    <t>Lawford CE Primary School</t>
  </si>
  <si>
    <t>Layer de la Haye CE P</t>
  </si>
  <si>
    <t>Lexden C P Colchester</t>
  </si>
  <si>
    <t>Limes Farm C J The Chigwell</t>
  </si>
  <si>
    <t>Lincewood Primary Basildon</t>
  </si>
  <si>
    <t>Little Hallingbury CE P</t>
  </si>
  <si>
    <t>Little Waltham CE P</t>
  </si>
  <si>
    <t>Long Ridings C P Hutton</t>
  </si>
  <si>
    <t>Manuden C P</t>
  </si>
  <si>
    <t>Matching Green CE P</t>
  </si>
  <si>
    <t>Mayflower C P The Harwich</t>
  </si>
  <si>
    <t>Mersea Island School</t>
  </si>
  <si>
    <t>Milldene C P The Tiptree</t>
  </si>
  <si>
    <t>Millfields Primary School</t>
  </si>
  <si>
    <t>Montgomery C I &amp; N Colchester</t>
  </si>
  <si>
    <t>Montgomery C J Colchester</t>
  </si>
  <si>
    <t>Moreton CE P</t>
  </si>
  <si>
    <t>Myland C P Colchester</t>
  </si>
  <si>
    <t>Nazeing C P</t>
  </si>
  <si>
    <t>Newport C P</t>
  </si>
  <si>
    <t>North C P Colchester</t>
  </si>
  <si>
    <t>Oakfield Primary</t>
  </si>
  <si>
    <t>Oakwood C I The Clacton</t>
  </si>
  <si>
    <t>Old Heath C P Colchester</t>
  </si>
  <si>
    <t>Parsons Heath CE (Cont) P Colchester</t>
  </si>
  <si>
    <t>Prettygate C I Colchester</t>
  </si>
  <si>
    <t>Prettygate C J Colchester</t>
  </si>
  <si>
    <t>Priory C P The Bicknacre</t>
  </si>
  <si>
    <t>Queen Boudica Primary</t>
  </si>
  <si>
    <t>Quilters C I Billericay</t>
  </si>
  <si>
    <t>Quilters C J Billericay</t>
  </si>
  <si>
    <t>Radwinter CE P</t>
  </si>
  <si>
    <t>Rettendon C P</t>
  </si>
  <si>
    <t>Rickling CE P</t>
  </si>
  <si>
    <t>Riverside C P Hullbridge</t>
  </si>
  <si>
    <t>Roach Vale C P Colchester</t>
  </si>
  <si>
    <t>Rodings Primary School</t>
  </si>
  <si>
    <t>Roxwell CE P</t>
  </si>
  <si>
    <t>Sheering CE P</t>
  </si>
  <si>
    <t>South Green C I &amp; N Billericay</t>
  </si>
  <si>
    <t>South Green C J Billericay</t>
  </si>
  <si>
    <t>South Weald St Peter's CE P</t>
  </si>
  <si>
    <t>Spring Meadow C P Dovercourt Harwich</t>
  </si>
  <si>
    <t>Springfield C Primary</t>
  </si>
  <si>
    <t>St Andrews CE P Marks Tey</t>
  </si>
  <si>
    <t>St Anne Line RC I The Basildon</t>
  </si>
  <si>
    <t>St Anne Line RC J The Basildon</t>
  </si>
  <si>
    <t>St Francis RC P Braintree</t>
  </si>
  <si>
    <t>St Francis RC P Maldon</t>
  </si>
  <si>
    <t>St Georges C I &amp; N Colchester</t>
  </si>
  <si>
    <t>St Georges C J Colchester</t>
  </si>
  <si>
    <t>St Georges CE P Gt Bromley</t>
  </si>
  <si>
    <t>St Giles CE P Gt Maplestead</t>
  </si>
  <si>
    <t>St Helens RC Infant School</t>
  </si>
  <si>
    <t>St John Baptist CE P Pebmarsh</t>
  </si>
  <si>
    <t>St John Fisher RC Primary School</t>
  </si>
  <si>
    <t>St Johns CE P Danbury</t>
  </si>
  <si>
    <t>St Johns CE V/C P Colchester</t>
  </si>
  <si>
    <t>St Johns Green C P Colchester</t>
  </si>
  <si>
    <t>St Joseph the Worker RC P Hutton</t>
  </si>
  <si>
    <t>St Josephs RC P Harwich</t>
  </si>
  <si>
    <t>St Josephs RC P South Woodham</t>
  </si>
  <si>
    <t>St Katherine's CE Primary School</t>
  </si>
  <si>
    <t>St Lawrence CE (C) P Rowhedge</t>
  </si>
  <si>
    <t>St Margarets CE P Toppesfield</t>
  </si>
  <si>
    <t>Earmarked: Consortium Balances</t>
  </si>
  <si>
    <t>St Marys CE (A) P Saffron Walden</t>
  </si>
  <si>
    <t>St Marys CE P Ardleigh</t>
  </si>
  <si>
    <t>St Marys CE P Burnham-on-Crouch</t>
  </si>
  <si>
    <t>St Marys CE P Hatfield Broad Oak</t>
  </si>
  <si>
    <t>St Marys CE P Woodham Ferrers</t>
  </si>
  <si>
    <t>St Mary's CE Primary School, Stansted</t>
  </si>
  <si>
    <t>St Michaels C P Colchester</t>
  </si>
  <si>
    <t>St Michaels CE J Galleywood</t>
  </si>
  <si>
    <t>St Michaels CE P Braintree</t>
  </si>
  <si>
    <t>St Nicholas CE P Tillingham</t>
  </si>
  <si>
    <t>St Nicholas CofE Primary, Rawreth</t>
  </si>
  <si>
    <t>St Peters CE P Coggeshall</t>
  </si>
  <si>
    <t>St Peters CE P Sible Hedingham</t>
  </si>
  <si>
    <t>St Peters RC P Billericay</t>
  </si>
  <si>
    <t>St Pius X RC P Chelmsford</t>
  </si>
  <si>
    <t>St Thomas of Canterbury CE I Brentwood</t>
  </si>
  <si>
    <t>St Thomas of Canterbury CE J Brentwood</t>
  </si>
  <si>
    <t>Stanway C P</t>
  </si>
  <si>
    <t>Stanway Fiveways C P</t>
  </si>
  <si>
    <t>Stebbing C P</t>
  </si>
  <si>
    <t>Stock CE P</t>
  </si>
  <si>
    <t>Sunnymede C I Billericay</t>
  </si>
  <si>
    <t>Sunnymede C J Billericay</t>
  </si>
  <si>
    <t>Tanglewood Nursery School</t>
  </si>
  <si>
    <t>Tendring C P</t>
  </si>
  <si>
    <t>Terling CE P</t>
  </si>
  <si>
    <t>Thaxted Primary School</t>
  </si>
  <si>
    <t>Thomas Willingale School</t>
  </si>
  <si>
    <t>Tiptree Heath C P</t>
  </si>
  <si>
    <t>Tollesbury C P</t>
  </si>
  <si>
    <t>Tolleshunt D Arcy St Nicholas CE P</t>
  </si>
  <si>
    <t>Trinity Road C P Chelmsford</t>
  </si>
  <si>
    <t>Trinity St Marys CE P South Woodham</t>
  </si>
  <si>
    <t>Two Village Primary School</t>
  </si>
  <si>
    <t>Upshire Primary Foundation School</t>
  </si>
  <si>
    <t>Vange C P &amp; N</t>
  </si>
  <si>
    <t>W &amp; S Hanningfield St Peters CE P</t>
  </si>
  <si>
    <t>Walton Primary School</t>
  </si>
  <si>
    <t>Warley C P Brentwood</t>
  </si>
  <si>
    <t xml:space="preserve">Wentworth C P Maldon </t>
  </si>
  <si>
    <t>West Horndon C P</t>
  </si>
  <si>
    <t>Westlands C P Chelmsford</t>
  </si>
  <si>
    <t>Wethersfield CE P</t>
  </si>
  <si>
    <t>White Court C P Braintree</t>
  </si>
  <si>
    <t>White Notley CE P</t>
  </si>
  <si>
    <t>William Read CP Canvey Island</t>
  </si>
  <si>
    <t>Willowbrook C P, Hutton</t>
  </si>
  <si>
    <t>Wimbish C P</t>
  </si>
  <si>
    <t>Wix C P</t>
  </si>
  <si>
    <t>Woodcroft Nursery School</t>
  </si>
  <si>
    <t>Woodham Walter CE P</t>
  </si>
  <si>
    <t>Writtle C I</t>
  </si>
  <si>
    <t>Writtle C J</t>
  </si>
  <si>
    <t>Beauchamps School</t>
  </si>
  <si>
    <t>De La Salle Basildon</t>
  </si>
  <si>
    <t>St Benedict's College (RC)</t>
  </si>
  <si>
    <t>St John Payne RC Chelmsford</t>
  </si>
  <si>
    <t>Harlow Fields</t>
  </si>
  <si>
    <t>Early Years</t>
  </si>
  <si>
    <t>I</t>
  </si>
  <si>
    <t>II</t>
  </si>
  <si>
    <t>III</t>
  </si>
  <si>
    <t>IV</t>
  </si>
  <si>
    <t>V</t>
  </si>
  <si>
    <t xml:space="preserve">Revenue Contribution to Capital </t>
  </si>
  <si>
    <t>Open the Cash Flow Calculator worksheet by clicking on the tab at the bottom of the screen.</t>
  </si>
  <si>
    <t xml:space="preserve">Cost Code    </t>
  </si>
  <si>
    <r>
      <t>Less:</t>
    </r>
    <r>
      <rPr>
        <sz val="10"/>
        <rFont val="Arial"/>
        <family val="2"/>
      </rPr>
      <t xml:space="preserve">     Planned Expenditure</t>
    </r>
  </si>
  <si>
    <t xml:space="preserve">Planned use of resources      </t>
  </si>
  <si>
    <t xml:space="preserve">Resources available      </t>
  </si>
  <si>
    <t xml:space="preserve">             Delegated Funding</t>
  </si>
  <si>
    <t xml:space="preserve">             School Generated Income</t>
  </si>
  <si>
    <t xml:space="preserve">             Balance brought forward from previous year used to support budget</t>
  </si>
  <si>
    <r>
      <t xml:space="preserve">          </t>
    </r>
    <r>
      <rPr>
        <b/>
        <u/>
        <sz val="10"/>
        <rFont val="Arial"/>
        <family val="2"/>
      </rPr>
      <t xml:space="preserve">Contingencies Earmarked for </t>
    </r>
  </si>
  <si>
    <t xml:space="preserve">Rent and Lettings                                                                                                                    </t>
  </si>
  <si>
    <t xml:space="preserve">Non-LA Income                                                      </t>
  </si>
  <si>
    <t xml:space="preserve">Other Income                                                                                                    </t>
  </si>
  <si>
    <r>
      <t xml:space="preserve">             </t>
    </r>
    <r>
      <rPr>
        <u/>
        <sz val="10"/>
        <rFont val="Arial"/>
        <family val="2"/>
      </rPr>
      <t>add</t>
    </r>
    <r>
      <rPr>
        <sz val="10"/>
        <rFont val="Arial"/>
        <family val="2"/>
      </rPr>
      <t xml:space="preserve"> Funds Transferred from Revenue Budget</t>
    </r>
  </si>
  <si>
    <t>Staffing: Add Cost Centre Description Here</t>
  </si>
  <si>
    <t>Yearly Total</t>
  </si>
  <si>
    <t>Pick Profile</t>
  </si>
  <si>
    <t>Cash In</t>
  </si>
  <si>
    <t>April</t>
  </si>
  <si>
    <t>May</t>
  </si>
  <si>
    <t>June</t>
  </si>
  <si>
    <t>July</t>
  </si>
  <si>
    <t>August</t>
  </si>
  <si>
    <t>September</t>
  </si>
  <si>
    <t>October</t>
  </si>
  <si>
    <t>November</t>
  </si>
  <si>
    <t>December</t>
  </si>
  <si>
    <t>January</t>
  </si>
  <si>
    <t>February</t>
  </si>
  <si>
    <t>March</t>
  </si>
  <si>
    <t>Profile</t>
  </si>
  <si>
    <t>Cash Out</t>
  </si>
  <si>
    <t>Opening Cash Balance</t>
  </si>
  <si>
    <t>Closing Cash Balance</t>
  </si>
  <si>
    <t>Cashflow Table</t>
  </si>
  <si>
    <r>
      <t xml:space="preserve">To estimate funding due to your school, enter data in the yellow cells as directed. Estimated funding will then appear on the </t>
    </r>
    <r>
      <rPr>
        <b/>
        <sz val="11"/>
        <rFont val="Arial"/>
        <family val="2"/>
      </rPr>
      <t>Income</t>
    </r>
    <r>
      <rPr>
        <sz val="11"/>
        <rFont val="Arial"/>
        <family val="2"/>
      </rPr>
      <t xml:space="preserve"> sheet.</t>
    </r>
  </si>
  <si>
    <t>Next, enter amounts in rows 9 and 53 to reflect any debtors and creditors from the previous financial year.</t>
  </si>
  <si>
    <r>
      <t>Once you have picked an automatic profile option or have manually typed in the cash inflows and outflows for each income and expenditure line on the</t>
    </r>
    <r>
      <rPr>
        <b/>
        <sz val="11"/>
        <rFont val="Arial"/>
        <family val="2"/>
      </rPr>
      <t xml:space="preserve"> Income</t>
    </r>
    <r>
      <rPr>
        <sz val="11"/>
        <rFont val="Arial"/>
        <family val="2"/>
      </rPr>
      <t xml:space="preserve">, </t>
    </r>
    <r>
      <rPr>
        <b/>
        <sz val="11"/>
        <rFont val="Arial"/>
        <family val="2"/>
      </rPr>
      <t>Expenditure</t>
    </r>
    <r>
      <rPr>
        <sz val="11"/>
        <rFont val="Arial"/>
        <family val="2"/>
      </rPr>
      <t xml:space="preserve"> and </t>
    </r>
    <r>
      <rPr>
        <b/>
        <sz val="11"/>
        <rFont val="Arial"/>
        <family val="2"/>
      </rPr>
      <t>Capital</t>
    </r>
    <r>
      <rPr>
        <sz val="11"/>
        <rFont val="Arial"/>
        <family val="2"/>
      </rPr>
      <t xml:space="preserve"> pages, the cash flow forecast is complete.  The </t>
    </r>
    <r>
      <rPr>
        <b/>
        <sz val="11"/>
        <rFont val="Arial"/>
        <family val="2"/>
      </rPr>
      <t>Cash Flow Reports</t>
    </r>
    <r>
      <rPr>
        <sz val="11"/>
        <rFont val="Arial"/>
        <family val="2"/>
      </rPr>
      <t xml:space="preserve"> worksheet will show a summary of all cash inflows and outflows.  A warning will appear at the top of this worksheet if the forecast indicates a cash deficit in one or more months.  If this is the case it might be necessary to contact the LA for a cash advance as set out in the Guidance for Schools with an External Bank Account, available on the Essex Schools Infolink.</t>
    </r>
  </si>
  <si>
    <t>finance.monitoring@essex.gov.uk</t>
  </si>
  <si>
    <t>Monthly</t>
  </si>
  <si>
    <t>Manual</t>
  </si>
  <si>
    <t>Quarterly (From April)</t>
  </si>
  <si>
    <t>Termly</t>
  </si>
  <si>
    <t>Monthly (excl. August)</t>
  </si>
  <si>
    <t>KS1 Class Size Funding</t>
  </si>
  <si>
    <t>Early Years Block Funding</t>
  </si>
  <si>
    <t>Schools Block</t>
  </si>
  <si>
    <r>
      <t xml:space="preserve">Go to the </t>
    </r>
    <r>
      <rPr>
        <b/>
        <sz val="11"/>
        <rFont val="Arial"/>
        <family val="2"/>
      </rPr>
      <t>Income</t>
    </r>
    <r>
      <rPr>
        <sz val="11"/>
        <rFont val="Arial"/>
        <family val="2"/>
      </rPr>
      <t xml:space="preserve"> worksheet by clicking on the </t>
    </r>
    <r>
      <rPr>
        <b/>
        <sz val="11"/>
        <rFont val="Arial"/>
        <family val="2"/>
      </rPr>
      <t>Income</t>
    </r>
    <r>
      <rPr>
        <sz val="11"/>
        <rFont val="Arial"/>
        <family val="2"/>
      </rPr>
      <t xml:space="preserve"> tab.</t>
    </r>
  </si>
  <si>
    <t xml:space="preserve">Enter figure(s) for the brought forward balance. If the exact brought forward balance is not known then the latest estimate should be used. </t>
  </si>
  <si>
    <r>
      <t xml:space="preserve">Once the funding section of the </t>
    </r>
    <r>
      <rPr>
        <b/>
        <sz val="11"/>
        <rFont val="Arial"/>
        <family val="2"/>
      </rPr>
      <t>Income</t>
    </r>
    <r>
      <rPr>
        <sz val="11"/>
        <rFont val="Arial"/>
        <family val="2"/>
      </rPr>
      <t xml:space="preserve"> worksheet is complete, enter budget allocations for expected income due from rent, lettings &amp; other sources in rows 47-61 of the </t>
    </r>
    <r>
      <rPr>
        <b/>
        <sz val="11"/>
        <rFont val="Arial"/>
        <family val="2"/>
      </rPr>
      <t>Income</t>
    </r>
    <r>
      <rPr>
        <sz val="11"/>
        <rFont val="Arial"/>
        <family val="2"/>
      </rPr>
      <t xml:space="preserve"> worksheet, adding explanatory notes in column C as appropriate.</t>
    </r>
  </si>
  <si>
    <t>Please note that attention should be paid to cell E3 whilst entering the expenditure allocations to ensure that funds are not over-allocated.  If the total of expenditure allocated exceeds the level of funds available, a warning message will appear in cell D3.  If you are unable to set a realistic budget without getting this warning message you should contact your Schools Finance Team Officer for advice. (Contact telephone numbers can be found at the end of these guidance notes).</t>
  </si>
  <si>
    <t>Pupil 1</t>
  </si>
  <si>
    <t>Pupil 2</t>
  </si>
  <si>
    <t>Pupil 3</t>
  </si>
  <si>
    <t>Pupil 4</t>
  </si>
  <si>
    <t>Pupil 5</t>
  </si>
  <si>
    <t>Pupil 6</t>
  </si>
  <si>
    <t>Pupil 7</t>
  </si>
  <si>
    <t>Pupil 8</t>
  </si>
  <si>
    <t>Pupil 9</t>
  </si>
  <si>
    <t>Pupil 10</t>
  </si>
  <si>
    <t>Pupil 11</t>
  </si>
  <si>
    <t>Pupil 12</t>
  </si>
  <si>
    <t>Pupil 13</t>
  </si>
  <si>
    <t>Pupil 14</t>
  </si>
  <si>
    <t>Pupil 15</t>
  </si>
  <si>
    <t>Pupil 16</t>
  </si>
  <si>
    <t>Pupil 17</t>
  </si>
  <si>
    <t>Pupil 18</t>
  </si>
  <si>
    <t>Pupil 19</t>
  </si>
  <si>
    <t>Pupil 20</t>
  </si>
  <si>
    <t>Pupil 21</t>
  </si>
  <si>
    <t>Pupil 22</t>
  </si>
  <si>
    <t>Pupil 23</t>
  </si>
  <si>
    <t>Pupil 24</t>
  </si>
  <si>
    <t>Pupil 25</t>
  </si>
  <si>
    <t>Pupil 26</t>
  </si>
  <si>
    <t>Pupil 27</t>
  </si>
  <si>
    <t>Pupil 28</t>
  </si>
  <si>
    <t>Pupil 29</t>
  </si>
  <si>
    <t>Pupil 30</t>
  </si>
  <si>
    <t>Pupil 31</t>
  </si>
  <si>
    <t>Pupil 32</t>
  </si>
  <si>
    <t>Pupil 33</t>
  </si>
  <si>
    <t>Pupil 34</t>
  </si>
  <si>
    <t>Pupil 35</t>
  </si>
  <si>
    <t>Pupil 36</t>
  </si>
  <si>
    <t>Pupil 37</t>
  </si>
  <si>
    <t>Pupil 38</t>
  </si>
  <si>
    <t>Pupil 39</t>
  </si>
  <si>
    <t>Pupil 40</t>
  </si>
  <si>
    <t>Pupil 41</t>
  </si>
  <si>
    <t>Pupil 42</t>
  </si>
  <si>
    <t>Pupil 43</t>
  </si>
  <si>
    <t>Pupil 44</t>
  </si>
  <si>
    <t>Pupil 45</t>
  </si>
  <si>
    <t>Pupil 46</t>
  </si>
  <si>
    <t>Pupil 47</t>
  </si>
  <si>
    <t>Pupil 48</t>
  </si>
  <si>
    <t>Pupil 49</t>
  </si>
  <si>
    <t>Pupil 50</t>
  </si>
  <si>
    <t>Pupil 51</t>
  </si>
  <si>
    <t>Pupil 52</t>
  </si>
  <si>
    <t>Pupil 53</t>
  </si>
  <si>
    <t>Pupil 54</t>
  </si>
  <si>
    <t>Pupil 55</t>
  </si>
  <si>
    <t>Pupil 56</t>
  </si>
  <si>
    <t>Pupil 57</t>
  </si>
  <si>
    <t>Pupil 58</t>
  </si>
  <si>
    <t>Pupil 59</t>
  </si>
  <si>
    <t>Pupil 60</t>
  </si>
  <si>
    <t>Pupil 61</t>
  </si>
  <si>
    <t>Pupil 62</t>
  </si>
  <si>
    <t>Pupil 63</t>
  </si>
  <si>
    <t>Pupil 64</t>
  </si>
  <si>
    <t>Pupil 65</t>
  </si>
  <si>
    <t>Pupil 66</t>
  </si>
  <si>
    <t>Pupil 67</t>
  </si>
  <si>
    <t>Pupil 68</t>
  </si>
  <si>
    <t>Pupil 69</t>
  </si>
  <si>
    <t>Pupil 70</t>
  </si>
  <si>
    <t>Pupil 71</t>
  </si>
  <si>
    <t>Pupil 72</t>
  </si>
  <si>
    <t>Pupil 73</t>
  </si>
  <si>
    <t>Pupil 74</t>
  </si>
  <si>
    <t>Estimated Pupil Premium Funding</t>
  </si>
  <si>
    <t>NOR</t>
  </si>
  <si>
    <t>Qual</t>
  </si>
  <si>
    <t>Pupil 75</t>
  </si>
  <si>
    <t>Pupil 76</t>
  </si>
  <si>
    <t>Pupil 77</t>
  </si>
  <si>
    <t>Pupil 78</t>
  </si>
  <si>
    <t>Pupil 79</t>
  </si>
  <si>
    <t>Pupil 80</t>
  </si>
  <si>
    <t>Pupil 81</t>
  </si>
  <si>
    <t>Pupil 82</t>
  </si>
  <si>
    <t>Pupil 83</t>
  </si>
  <si>
    <t>Pupil 84</t>
  </si>
  <si>
    <t>Pupil 85</t>
  </si>
  <si>
    <t>Pupil 86</t>
  </si>
  <si>
    <t>Pupil 87</t>
  </si>
  <si>
    <t>Pupil 88</t>
  </si>
  <si>
    <t>Pupil 89</t>
  </si>
  <si>
    <t>Pupil 90</t>
  </si>
  <si>
    <t>Pupil 91</t>
  </si>
  <si>
    <t>Pupil 92</t>
  </si>
  <si>
    <t>Pupil 93</t>
  </si>
  <si>
    <t>Pupil 94</t>
  </si>
  <si>
    <t>Pupil 95</t>
  </si>
  <si>
    <t>Pupil 96</t>
  </si>
  <si>
    <t>Pupil 97</t>
  </si>
  <si>
    <t>Pupil 98</t>
  </si>
  <si>
    <t>Pupil 99</t>
  </si>
  <si>
    <t>Pupil 100</t>
  </si>
  <si>
    <t>Weeks in term</t>
  </si>
  <si>
    <t>Estimated Early Years Funding</t>
  </si>
  <si>
    <t>Enter pupil numbers in all of the yellow boxes below, entering a zero where appropriate.  The FSME &amp; Service Children elements of Pupil Premium Funding are based upon a single pupil count in January.  The LAC element is based on three separate (termly) pupil number counts.</t>
  </si>
  <si>
    <t>Revenue Funds Available</t>
  </si>
  <si>
    <t>Total Revenue Funding Available</t>
  </si>
  <si>
    <t>Capital Funding/Income</t>
  </si>
  <si>
    <t>Joint Funding</t>
  </si>
  <si>
    <t>School Travel Plan Funding</t>
  </si>
  <si>
    <t>Total Capital Funds Available</t>
  </si>
  <si>
    <t>Total Planned Capital Expenditure</t>
  </si>
  <si>
    <t>Project 1 (Please enter description here)</t>
  </si>
  <si>
    <t>Project 2 (Please enter description here)</t>
  </si>
  <si>
    <t>Project 3 (Please enter description here)</t>
  </si>
  <si>
    <t>Project 4 (Please enter description here)</t>
  </si>
  <si>
    <t>Project 5 (Please enter description here)</t>
  </si>
  <si>
    <t>Project 6 (Please enter description here)</t>
  </si>
  <si>
    <t>Please enter description here</t>
  </si>
  <si>
    <t>Other 1 (Please enter description here)</t>
  </si>
  <si>
    <t>Other 2 (Please enter description here)</t>
  </si>
  <si>
    <t>Other 3 (Please enter description here)</t>
  </si>
  <si>
    <t>Capital Budget</t>
  </si>
  <si>
    <t>Teachers</t>
  </si>
  <si>
    <t>Teachers Pay</t>
  </si>
  <si>
    <t>Teachers NI</t>
  </si>
  <si>
    <t>Teachers Super</t>
  </si>
  <si>
    <t>Supply Pay</t>
  </si>
  <si>
    <t>Supply NI</t>
  </si>
  <si>
    <t>Supply Super</t>
  </si>
  <si>
    <t>Supply - Reimbursement Int Ins</t>
  </si>
  <si>
    <t>Administrative Staff</t>
  </si>
  <si>
    <t>Admin Assts Pay</t>
  </si>
  <si>
    <t>Clerk to Govs Pay</t>
  </si>
  <si>
    <t>Admin Assts Overtime</t>
  </si>
  <si>
    <t>Admin Assts NI</t>
  </si>
  <si>
    <t>Clerk to Govs NI</t>
  </si>
  <si>
    <t>Admin Assts Super</t>
  </si>
  <si>
    <r>
      <t xml:space="preserve">All figures should be entered as positive numbers rounded to the nearest pound, with the exception of income ledger code allocations entered on the </t>
    </r>
    <r>
      <rPr>
        <b/>
        <sz val="11"/>
        <rFont val="Arial"/>
        <family val="2"/>
      </rPr>
      <t>Expenditure</t>
    </r>
    <r>
      <rPr>
        <sz val="11"/>
        <rFont val="Arial"/>
        <family val="2"/>
      </rPr>
      <t xml:space="preserve"> worksheet, which should be entered as negative figures. These codes and descriptions are shown in blue on the </t>
    </r>
    <r>
      <rPr>
        <b/>
        <sz val="11"/>
        <rFont val="Arial"/>
        <family val="2"/>
      </rPr>
      <t>Expenditure</t>
    </r>
    <r>
      <rPr>
        <sz val="11"/>
        <rFont val="Arial"/>
        <family val="2"/>
      </rPr>
      <t xml:space="preserve"> worksheet.</t>
    </r>
  </si>
  <si>
    <t>Other: Please enter description</t>
  </si>
  <si>
    <t>Clerk to Govs Super</t>
  </si>
  <si>
    <t>Classroom Support</t>
  </si>
  <si>
    <t>Teaching Assts Pay</t>
  </si>
  <si>
    <t>Teaching Assts Overtime</t>
  </si>
  <si>
    <t>Teaching Assts NI</t>
  </si>
  <si>
    <t>Teaching Assts. Super</t>
  </si>
  <si>
    <t>SEN Welfare</t>
  </si>
  <si>
    <t>SEN Welfare Pay</t>
  </si>
  <si>
    <t>SEN Welfare Overtime</t>
  </si>
  <si>
    <t>SEN Welfare NI</t>
  </si>
  <si>
    <t>SEN Welfare Super</t>
  </si>
  <si>
    <t>Premises Staff</t>
  </si>
  <si>
    <t>Caretakers Lettings Pay</t>
  </si>
  <si>
    <t>Cleaning Staff Pay</t>
  </si>
  <si>
    <t>Cleaning Staff Overtime</t>
  </si>
  <si>
    <t>Caretakers Lettings NI</t>
  </si>
  <si>
    <t>Cleaning Staff NI</t>
  </si>
  <si>
    <t>Caretakers Lettings Super</t>
  </si>
  <si>
    <t>Cleaning Staff Super</t>
  </si>
  <si>
    <t>Midday Supervision</t>
  </si>
  <si>
    <t>Staff Insurance Premiums</t>
  </si>
  <si>
    <t>Manual Int. Ins. Premiums</t>
  </si>
  <si>
    <t>Other Employees Expenses</t>
  </si>
  <si>
    <t>Relocation Expenses</t>
  </si>
  <si>
    <t>Free Meals for Staff</t>
  </si>
  <si>
    <t>Relocation - Int. Ins. Prem.</t>
  </si>
  <si>
    <t>Relocation Exp. - Int. Ins. Reim.</t>
  </si>
  <si>
    <t>Clothing &amp; Uniforms</t>
  </si>
  <si>
    <t>Advertising</t>
  </si>
  <si>
    <t>Interview Expenses</t>
  </si>
  <si>
    <t>Internal Decorations</t>
  </si>
  <si>
    <t>Alterations &amp; Improvements</t>
  </si>
  <si>
    <t>Repairs &amp; Maintenance</t>
  </si>
  <si>
    <t>Buildings - Upkeep</t>
  </si>
  <si>
    <t>Health &amp; Safety Precautions</t>
  </si>
  <si>
    <t>Security Measures</t>
  </si>
  <si>
    <t>Surveyors/Architects Fees</t>
  </si>
  <si>
    <t>Insurance Claims Buildings</t>
  </si>
  <si>
    <t>Grounds - Upkeep</t>
  </si>
  <si>
    <t>Grounds Maintenance</t>
  </si>
  <si>
    <t>Grounds Improvements</t>
  </si>
  <si>
    <t>Grounds Income</t>
  </si>
  <si>
    <t>Cleaning</t>
  </si>
  <si>
    <t>Special schools do not need to use this worksheet as all funding due is in the High Needs Block and so you only need to use the High Needs worksheet to estimate the total funding due to your school.</t>
  </si>
  <si>
    <t>Pupil Number Information</t>
  </si>
  <si>
    <t>Cleaning Contract</t>
  </si>
  <si>
    <t>Cleaning - Other</t>
  </si>
  <si>
    <t>Fuel</t>
  </si>
  <si>
    <t>Gas</t>
  </si>
  <si>
    <t>Electricity</t>
  </si>
  <si>
    <t>Oil</t>
  </si>
  <si>
    <t>Fuel - Other</t>
  </si>
  <si>
    <t>Water</t>
  </si>
  <si>
    <t>Water Rates</t>
  </si>
  <si>
    <t>Furniture</t>
  </si>
  <si>
    <t>Classroom Furniture</t>
  </si>
  <si>
    <t>Rent and Rates</t>
  </si>
  <si>
    <t>Rent</t>
  </si>
  <si>
    <t>Rates</t>
  </si>
  <si>
    <t>Curriculum</t>
  </si>
  <si>
    <t>Books</t>
  </si>
  <si>
    <t>Educational Equipt/Materials</t>
  </si>
  <si>
    <t>Staff Transport</t>
  </si>
  <si>
    <t>Pupil Transport</t>
  </si>
  <si>
    <t>Office Expenses</t>
  </si>
  <si>
    <t>Office Rentals &amp; Leasing Costs</t>
  </si>
  <si>
    <t>Printing &amp; Stationery</t>
  </si>
  <si>
    <t>Postages</t>
  </si>
  <si>
    <t>Telephones</t>
  </si>
  <si>
    <t>Telephone Income</t>
  </si>
  <si>
    <t>Reprographics</t>
  </si>
  <si>
    <t>Office Expenses - Other</t>
  </si>
  <si>
    <t>Professional Fees Exp.</t>
  </si>
  <si>
    <t>Education Support Services</t>
  </si>
  <si>
    <t>Govs Expenses</t>
  </si>
  <si>
    <t>Pupil Support</t>
  </si>
  <si>
    <t>PE Clothing</t>
  </si>
  <si>
    <t>Educational Visits - Costs</t>
  </si>
  <si>
    <t>Excluded Pupils - Costs</t>
  </si>
  <si>
    <t>Educational Visits - Income</t>
  </si>
  <si>
    <t>Excluded Pupils - Income</t>
  </si>
  <si>
    <t>Music Expenditure</t>
  </si>
  <si>
    <t>Music Instruments/Equip.</t>
  </si>
  <si>
    <t>Music Fees</t>
  </si>
  <si>
    <t>Other Income</t>
  </si>
  <si>
    <t>Cost Centre</t>
  </si>
  <si>
    <t>Notes/Description</t>
  </si>
  <si>
    <t>Add Cost Centre Description Here</t>
  </si>
  <si>
    <t>£</t>
  </si>
  <si>
    <t>Planned Expenditure</t>
  </si>
  <si>
    <t>Total Planned Expenditure</t>
  </si>
  <si>
    <t>Year to 
be spent</t>
  </si>
  <si>
    <t>Total Funds Available</t>
  </si>
  <si>
    <t>Total Retained Earnings Available</t>
  </si>
  <si>
    <t>To be used as follows:</t>
  </si>
  <si>
    <t>General Contingency</t>
  </si>
  <si>
    <t xml:space="preserve">General Contingency </t>
  </si>
  <si>
    <t>Planned Use of Reserves/Retained Earnings</t>
  </si>
  <si>
    <t>Available Funds less Planned Expenditure =</t>
  </si>
  <si>
    <t>Please only enter data in yellow fields</t>
  </si>
  <si>
    <t>Cost Centre Allocation</t>
  </si>
  <si>
    <t>Ledger
Allocation</t>
  </si>
  <si>
    <t>Summary Information</t>
  </si>
  <si>
    <t>Cost Code</t>
  </si>
  <si>
    <t>Total</t>
  </si>
  <si>
    <t>0101</t>
  </si>
  <si>
    <t>0102</t>
  </si>
  <si>
    <t>0401</t>
  </si>
  <si>
    <t>0501</t>
  </si>
  <si>
    <t>0104</t>
  </si>
  <si>
    <t>0402</t>
  </si>
  <si>
    <t>0131</t>
  </si>
  <si>
    <t>0138</t>
  </si>
  <si>
    <t>0502</t>
  </si>
  <si>
    <t>0331</t>
  </si>
  <si>
    <t>0431</t>
  </si>
  <si>
    <t>0438</t>
  </si>
  <si>
    <t>0531</t>
  </si>
  <si>
    <t>0538</t>
  </si>
  <si>
    <t>0139</t>
  </si>
  <si>
    <t>0339</t>
  </si>
  <si>
    <t>0439</t>
  </si>
  <si>
    <t>0539</t>
  </si>
  <si>
    <t>0542</t>
  </si>
  <si>
    <t>0142</t>
  </si>
  <si>
    <t>0342</t>
  </si>
  <si>
    <t>0442</t>
  </si>
  <si>
    <t>0168</t>
  </si>
  <si>
    <t>0187</t>
  </si>
  <si>
    <t>0387</t>
  </si>
  <si>
    <t>0468</t>
  </si>
  <si>
    <t>0487</t>
  </si>
  <si>
    <t>0568</t>
  </si>
  <si>
    <t>0587</t>
  </si>
  <si>
    <t>0172</t>
  </si>
  <si>
    <t>0472</t>
  </si>
  <si>
    <t>0572</t>
  </si>
  <si>
    <t>0701</t>
  </si>
  <si>
    <t>Budget Approval</t>
  </si>
  <si>
    <t>This budget was approved by the
Governing Body/Finance Committee on:</t>
  </si>
  <si>
    <t>Certification for Budget Plan Notification to be e-mailed to the Local Authority</t>
  </si>
  <si>
    <t xml:space="preserve">Certified by Headteacher: </t>
  </si>
  <si>
    <r>
      <t xml:space="preserve">Signed by Chair of Governors / Chair of Finance
</t>
    </r>
    <r>
      <rPr>
        <i/>
        <sz val="10"/>
        <rFont val="Arial"/>
        <family val="2"/>
      </rPr>
      <t>This signature is only required on the paper copy which is to be retained at school.</t>
    </r>
  </si>
  <si>
    <t xml:space="preserve">Staff Training </t>
  </si>
  <si>
    <t>0911</t>
  </si>
  <si>
    <t>0917</t>
  </si>
  <si>
    <t>2650</t>
  </si>
  <si>
    <t>Medical Fees &amp; CRB Fees</t>
  </si>
  <si>
    <t>Office Furniture &amp; Fittings</t>
  </si>
  <si>
    <t>Office Equipment - Maintenance</t>
  </si>
  <si>
    <t>Ed.Support/Admin - Int. Ins. Reim.</t>
  </si>
  <si>
    <t>Prem/Other Staff - Int. Ins. Reimb.</t>
  </si>
  <si>
    <t>Teachers Int. Ins. Premiums</t>
  </si>
  <si>
    <t>Relocation Ins. Premium</t>
  </si>
  <si>
    <t>Edu.Support/Admin Int. Ins. Premium</t>
  </si>
  <si>
    <t>Toilet &amp; Medical Sundries</t>
  </si>
  <si>
    <t>Mileage - non-training</t>
  </si>
  <si>
    <t>Mileage - training</t>
  </si>
  <si>
    <t>Teachers Overtime</t>
  </si>
  <si>
    <t>0301</t>
  </si>
  <si>
    <t>0338</t>
  </si>
  <si>
    <t>Clerk to Govs Overtime</t>
  </si>
  <si>
    <t>Higher Level TAs  Pay</t>
  </si>
  <si>
    <t>Higher Level TAs  NI</t>
  </si>
  <si>
    <t>Higher Level TAs  Overtime</t>
  </si>
  <si>
    <t>Higher Level TAs  Super</t>
  </si>
  <si>
    <t>0155</t>
  </si>
  <si>
    <t>0455</t>
  </si>
  <si>
    <t>0355</t>
  </si>
  <si>
    <t>0555</t>
  </si>
  <si>
    <t>Technicians Pay</t>
  </si>
  <si>
    <t>0532</t>
  </si>
  <si>
    <t>Technicians NI</t>
  </si>
  <si>
    <t>Technicians Overtime</t>
  </si>
  <si>
    <t>Technicians Super</t>
  </si>
  <si>
    <t>0332</t>
  </si>
  <si>
    <t>0132</t>
  </si>
  <si>
    <t>0432</t>
  </si>
  <si>
    <t>0191</t>
  </si>
  <si>
    <t>0190</t>
  </si>
  <si>
    <t>Agency Supply - Teachers</t>
  </si>
  <si>
    <t>Summer term only?</t>
  </si>
  <si>
    <t>Autumn
/Spring
only?</t>
  </si>
  <si>
    <t>Agency Supply - Non-teachers</t>
  </si>
  <si>
    <t>0304</t>
  </si>
  <si>
    <t>0404</t>
  </si>
  <si>
    <t>0504</t>
  </si>
  <si>
    <t>Nursery Nurses</t>
  </si>
  <si>
    <t>Nursery Nurses Pay</t>
  </si>
  <si>
    <t>0441</t>
  </si>
  <si>
    <t>0141</t>
  </si>
  <si>
    <t>Nursery Nurses NI</t>
  </si>
  <si>
    <t>Nursery Nurses Overtime</t>
  </si>
  <si>
    <t>Nursery Nurses Super</t>
  </si>
  <si>
    <t>0541</t>
  </si>
  <si>
    <t>0372</t>
  </si>
  <si>
    <t>Catering Staff</t>
  </si>
  <si>
    <t xml:space="preserve">Catering Staff Pay </t>
  </si>
  <si>
    <t>Catering Staff NI</t>
  </si>
  <si>
    <t>Catering Staff Overtime</t>
  </si>
  <si>
    <t>Catering Staff Super</t>
  </si>
  <si>
    <t>0171</t>
  </si>
  <si>
    <t>0371</t>
  </si>
  <si>
    <t>0471</t>
  </si>
  <si>
    <t>0571</t>
  </si>
  <si>
    <t>Sleeping in Allowance</t>
  </si>
  <si>
    <t>0925</t>
  </si>
  <si>
    <t>Cleaning Materials</t>
  </si>
  <si>
    <t>Catering</t>
  </si>
  <si>
    <t>Catering Consumables</t>
  </si>
  <si>
    <t>Catering Contract</t>
  </si>
  <si>
    <t>Provision of meals</t>
  </si>
  <si>
    <t>Office IT Equipment - Purchases</t>
  </si>
  <si>
    <t>Building Maintenance Tools</t>
  </si>
  <si>
    <t>Exam Fees</t>
  </si>
  <si>
    <t>Professional Fees - Curriculum</t>
  </si>
  <si>
    <t>Petrol. Oil &amp; Antifreeze</t>
  </si>
  <si>
    <t>Vehicle Repair &amp; Maintenance</t>
  </si>
  <si>
    <t>Photocopying</t>
  </si>
  <si>
    <t>Course &amp; Conference Fees</t>
  </si>
  <si>
    <t>Home to School Transport - Sch Funded</t>
  </si>
  <si>
    <t>Personal Hygiene</t>
  </si>
  <si>
    <t>Laundry</t>
  </si>
  <si>
    <t>Advertising - Publicity</t>
  </si>
  <si>
    <t>Bank Charges</t>
  </si>
  <si>
    <t>Other Insurance Premiums</t>
  </si>
  <si>
    <t>Rev. Contributions to Capital Expenditure</t>
  </si>
  <si>
    <t>Revenue Contributions to Capital Projects</t>
  </si>
  <si>
    <t>General Notes</t>
  </si>
  <si>
    <t>A</t>
  </si>
  <si>
    <t>B</t>
  </si>
  <si>
    <t>C</t>
  </si>
  <si>
    <t>Other Ins Prem.</t>
  </si>
  <si>
    <t>Governor's Expenses</t>
  </si>
  <si>
    <t>Insurance Prems - Premises/Other</t>
  </si>
  <si>
    <t>Employee Related Ins. (not staff absence)</t>
  </si>
  <si>
    <t>Structural Maintenance Plan</t>
  </si>
  <si>
    <t xml:space="preserve">Catering  </t>
  </si>
  <si>
    <t>Refuse Collection</t>
  </si>
  <si>
    <t>Capital</t>
  </si>
  <si>
    <t>LA Funding</t>
  </si>
  <si>
    <t xml:space="preserve">LA Funding </t>
  </si>
  <si>
    <t>Non-LA Income</t>
  </si>
  <si>
    <t>IFS Ref/
Ledger
Code</t>
  </si>
  <si>
    <t>Entering the School Cost Code</t>
  </si>
  <si>
    <r>
      <t xml:space="preserve">Many of the funding estimators in this planning tool rely on knowing the school cost code.  So the first step in completing your budget plan is to enter the cost code in cell E1 of the </t>
    </r>
    <r>
      <rPr>
        <b/>
        <sz val="11"/>
        <rFont val="Arial"/>
        <family val="2"/>
      </rPr>
      <t>Income</t>
    </r>
    <r>
      <rPr>
        <sz val="11"/>
        <rFont val="Arial"/>
        <family val="2"/>
      </rPr>
      <t xml:space="preserve"> sheet. Once this has been added you should see the correct school name appear at the top of the </t>
    </r>
    <r>
      <rPr>
        <b/>
        <sz val="11"/>
        <rFont val="Arial"/>
        <family val="2"/>
      </rPr>
      <t>Income</t>
    </r>
    <r>
      <rPr>
        <sz val="11"/>
        <rFont val="Arial"/>
        <family val="2"/>
      </rPr>
      <t xml:space="preserve"> sheet. If the correct school name doesn't appear, first check that the correct cost code has been used and then contact the Schools Finance Team (contact numbers are given at the bottom of these guidance notes).
</t>
    </r>
    <r>
      <rPr>
        <sz val="11"/>
        <color indexed="10"/>
        <rFont val="Arial"/>
        <family val="2"/>
      </rPr>
      <t>Failure to enter the correct cost code will cause estimated funding allocations to be calculated incorrectly.</t>
    </r>
  </si>
  <si>
    <t>These funding estimators are contained in the worksheets with blue tabs shown at the bottom of the screen.</t>
  </si>
  <si>
    <t>0001</t>
  </si>
  <si>
    <t>0003</t>
  </si>
  <si>
    <t xml:space="preserve">Revenue Balance Brought Forward </t>
  </si>
  <si>
    <t>Ledger
Code</t>
  </si>
  <si>
    <t>Fees Expenditure - Pupils</t>
  </si>
  <si>
    <t>Community Focused Extended Schools Staff</t>
  </si>
  <si>
    <t>Community Extended Schools Staff</t>
  </si>
  <si>
    <t>Capital Expenditure</t>
  </si>
  <si>
    <t>Earmarked: Building Projects (Revenue Contribution)</t>
  </si>
  <si>
    <t>Cleaning Equipment - Rental</t>
  </si>
  <si>
    <t>Water - Meter Charges</t>
  </si>
  <si>
    <t>Water - General Services</t>
  </si>
  <si>
    <t>Pupil Premium Funding</t>
  </si>
  <si>
    <t>Funding per Pupil</t>
  </si>
  <si>
    <t>Pupils</t>
  </si>
  <si>
    <t>Funding</t>
  </si>
  <si>
    <t>x</t>
  </si>
  <si>
    <t>=</t>
  </si>
  <si>
    <t>funded classes</t>
  </si>
  <si>
    <t>classes required</t>
  </si>
  <si>
    <t>Rates &amp; Rent</t>
  </si>
  <si>
    <t>Share of new delegation</t>
  </si>
  <si>
    <t>Total baseline exclusions</t>
  </si>
  <si>
    <t>Section 251 Schools Block (excluding PFI)</t>
  </si>
  <si>
    <t>Section 251 Schools Block - PFI Funding</t>
  </si>
  <si>
    <t>Rent &amp; Lettings</t>
  </si>
  <si>
    <t>Other (please enter description)</t>
  </si>
  <si>
    <t>Project 1</t>
  </si>
  <si>
    <t>Project 2</t>
  </si>
  <si>
    <t>Project 3</t>
  </si>
  <si>
    <t>Project 4</t>
  </si>
  <si>
    <t>Project 5</t>
  </si>
  <si>
    <t>0014</t>
  </si>
  <si>
    <t>Supply Staff</t>
  </si>
  <si>
    <t>Other Education Support Staff Pay</t>
  </si>
  <si>
    <t>Other Education Support Staff NI</t>
  </si>
  <si>
    <t>Other Education Support Staff Overtime</t>
  </si>
  <si>
    <t>Other Education Support Staff Super</t>
  </si>
  <si>
    <t>Premises Staff Pay</t>
  </si>
  <si>
    <t>Premises Staff NI</t>
  </si>
  <si>
    <t>Premises Overtime</t>
  </si>
  <si>
    <t>Premises Super</t>
  </si>
  <si>
    <t>0135</t>
  </si>
  <si>
    <t>0435</t>
  </si>
  <si>
    <t>0335</t>
  </si>
  <si>
    <t>0535</t>
  </si>
  <si>
    <t>Midday Staff Pay</t>
  </si>
  <si>
    <t>Midday Staff NI</t>
  </si>
  <si>
    <t>Midday Staff Overtime</t>
  </si>
  <si>
    <t>Midday Staff Super</t>
  </si>
  <si>
    <t>Other Staff Pay</t>
  </si>
  <si>
    <t>Other Staff NI</t>
  </si>
  <si>
    <t>Estimated Key Stage 1 Class Size Funding</t>
  </si>
  <si>
    <t>Estimated KS1 Class Size Funding</t>
  </si>
  <si>
    <t xml:space="preserve">Please only enter data in yellow or red fields   </t>
  </si>
  <si>
    <t>Other Staff Overtime</t>
  </si>
  <si>
    <t>Other Staff Super</t>
  </si>
  <si>
    <t>0130</t>
  </si>
  <si>
    <t>0330</t>
  </si>
  <si>
    <t>0430</t>
  </si>
  <si>
    <t>0530</t>
  </si>
  <si>
    <t>0799</t>
  </si>
  <si>
    <t>Grounds Equipment &amp; Materials</t>
  </si>
  <si>
    <t>Learning Resources ICT</t>
  </si>
  <si>
    <t>Learning Resources ICT - Internet</t>
  </si>
  <si>
    <t>Travel &amp; Subsistence</t>
  </si>
  <si>
    <t>Transport to School  Visits/Sports</t>
  </si>
  <si>
    <t>Office Equipment</t>
  </si>
  <si>
    <t>Other Hired Services</t>
  </si>
  <si>
    <t>ECC Charges</t>
  </si>
  <si>
    <t>Vehicle Insurance</t>
  </si>
  <si>
    <t>Catering Equipment</t>
  </si>
  <si>
    <t>Food &amp; Drink</t>
  </si>
  <si>
    <t>Increase in pupils</t>
  </si>
  <si>
    <r>
      <t>Three of the worksheets in this spreadsheet, (</t>
    </r>
    <r>
      <rPr>
        <b/>
        <sz val="11"/>
        <rFont val="Arial"/>
        <family val="2"/>
      </rPr>
      <t>Income</t>
    </r>
    <r>
      <rPr>
        <sz val="11"/>
        <rFont val="Arial"/>
        <family val="2"/>
      </rPr>
      <t>,</t>
    </r>
    <r>
      <rPr>
        <b/>
        <sz val="11"/>
        <rFont val="Arial"/>
        <family val="2"/>
      </rPr>
      <t xml:space="preserve"> Expenditure</t>
    </r>
    <r>
      <rPr>
        <sz val="11"/>
        <rFont val="Arial"/>
        <family val="2"/>
      </rPr>
      <t xml:space="preserve"> and </t>
    </r>
    <r>
      <rPr>
        <b/>
        <sz val="11"/>
        <rFont val="Arial"/>
        <family val="2"/>
      </rPr>
      <t>Capital)</t>
    </r>
    <r>
      <rPr>
        <sz val="11"/>
        <rFont val="Arial"/>
        <family val="2"/>
      </rPr>
      <t xml:space="preserve">, contain cash flow calculators that enable you to profile cash inflows and outflows.  </t>
    </r>
    <r>
      <rPr>
        <sz val="11"/>
        <rFont val="Arial"/>
        <family val="2"/>
      </rPr>
      <t>You will see that the 'Profile' column enables you to automatically profile income and expenditure lines across each month of the year.  You are able to click on any of the yellow cells in this column and select a profile type from the drop down list.  The income or expenditure total for that line will then be profiled according to the selected option.  Some lines do not give you the option to choose a profile option.  This is because they will be the same for every school and have been set.</t>
    </r>
  </si>
  <si>
    <t>Cash Flow Calculator - For Use by Bank Account Schools Only</t>
  </si>
  <si>
    <t>Nov</t>
  </si>
  <si>
    <t>Dec</t>
  </si>
  <si>
    <t>Feb</t>
  </si>
  <si>
    <t>Jan</t>
  </si>
  <si>
    <t>Mar</t>
  </si>
  <si>
    <t>Oct</t>
  </si>
  <si>
    <t>Sep</t>
  </si>
  <si>
    <t>Aug</t>
  </si>
  <si>
    <t>Jul</t>
  </si>
  <si>
    <t>Jun</t>
  </si>
  <si>
    <t>Apr</t>
  </si>
  <si>
    <t>Forecasting Cash Flow (Bank Account Schools only)</t>
  </si>
  <si>
    <r>
      <t xml:space="preserve">Bank account schools can use the cash flow calculator on the </t>
    </r>
    <r>
      <rPr>
        <b/>
        <sz val="11"/>
        <rFont val="Arial"/>
        <family val="2"/>
      </rPr>
      <t>Income</t>
    </r>
    <r>
      <rPr>
        <sz val="11"/>
        <rFont val="Arial"/>
        <family val="2"/>
      </rPr>
      <t xml:space="preserve"> page to forecast cash inflows (see the 'Forecasting Cash Flow' section below for full details). </t>
    </r>
  </si>
  <si>
    <t>Guidance Notes</t>
  </si>
  <si>
    <r>
      <t xml:space="preserve">Bank account schools can use the cash flow calculator on the </t>
    </r>
    <r>
      <rPr>
        <b/>
        <sz val="11"/>
        <rFont val="Arial"/>
        <family val="2"/>
      </rPr>
      <t>Expenditure</t>
    </r>
    <r>
      <rPr>
        <sz val="11"/>
        <rFont val="Arial"/>
        <family val="2"/>
      </rPr>
      <t xml:space="preserve"> page to forecast cash outflows (see the 'Forecasting Cash Flow' section below for full details). </t>
    </r>
  </si>
  <si>
    <r>
      <t>NB2</t>
    </r>
    <r>
      <rPr>
        <sz val="11"/>
        <rFont val="Arial"/>
        <family val="2"/>
      </rPr>
      <t>: Calculation Error Warning - A warning message will appear at the top of the page if the sum of the amounts entered in the month columns do not equal the total shown for the whole year on one or more rows. The cell(s) in the total column will also go red for all affected rows and the difference will be shown to the right hand side of the table. If you get this message after entering data into a row, recheck the figures entered.</t>
    </r>
  </si>
  <si>
    <r>
      <t xml:space="preserve">Direct Revenue Financing </t>
    </r>
    <r>
      <rPr>
        <i/>
        <sz val="10"/>
        <rFont val="Arial"/>
        <family val="2"/>
      </rPr>
      <t>(enter on Expenditure page)</t>
    </r>
  </si>
  <si>
    <t>NB: If you have chosen the manual profile option for a row below, have typed figures in manually in columns L to W &amp; now wish to change the profile, copy cells L12 to W12 &amp;  paste into columns L to W on the appropriate row to restore the formulae. (See guidance notes for full instructions).</t>
  </si>
  <si>
    <t>Go to Guidance Notes</t>
  </si>
  <si>
    <t>Income</t>
  </si>
  <si>
    <t>Expenditure</t>
  </si>
  <si>
    <r>
      <t xml:space="preserve">With the exception of the </t>
    </r>
    <r>
      <rPr>
        <b/>
        <sz val="11"/>
        <rFont val="Arial"/>
        <family val="2"/>
      </rPr>
      <t>Capital</t>
    </r>
    <r>
      <rPr>
        <sz val="11"/>
        <rFont val="Arial"/>
        <family val="2"/>
      </rPr>
      <t xml:space="preserve"> and </t>
    </r>
    <r>
      <rPr>
        <b/>
        <sz val="11"/>
        <rFont val="Arial"/>
        <family val="2"/>
      </rPr>
      <t>Cash Flow</t>
    </r>
    <r>
      <rPr>
        <sz val="11"/>
        <rFont val="Arial"/>
        <family val="2"/>
      </rPr>
      <t xml:space="preserve"> worksheets, this planning tool only considers </t>
    </r>
    <r>
      <rPr>
        <u/>
        <sz val="11"/>
        <rFont val="Arial"/>
        <family val="2"/>
      </rPr>
      <t>revenue</t>
    </r>
    <r>
      <rPr>
        <sz val="11"/>
        <rFont val="Arial"/>
        <family val="2"/>
      </rPr>
      <t xml:space="preserve"> funding, income and expenditure.</t>
    </r>
  </si>
  <si>
    <t>NB: If you have chosen the manual profile option for a row below, have typed figures in manually in columns H to S &amp; now wish to change the profile, copy cells H6 to S6 &amp;  paste into columns H to S on the appropriate row to restore the formulae. (See guidance notes for full instructions).</t>
  </si>
  <si>
    <t>NB: If you have chosen the manual profile option for a row below, have typed figures in manually in columns I to T &amp; now wish to change the profile, copy cells I6 to T6 &amp;  paste into columns I to T on the appropriate row to restore the formulae. (See guidance notes for full instructions).</t>
  </si>
  <si>
    <t>Ledger Code Description</t>
  </si>
  <si>
    <t>Description</t>
  </si>
  <si>
    <r>
      <t xml:space="preserve">Enter expenditure allocations in  column E in the </t>
    </r>
    <r>
      <rPr>
        <b/>
        <sz val="11"/>
        <rFont val="Arial"/>
        <family val="2"/>
      </rPr>
      <t>Expenditure</t>
    </r>
    <r>
      <rPr>
        <sz val="11"/>
        <rFont val="Arial"/>
        <family val="2"/>
      </rPr>
      <t xml:space="preserve"> worksheet, entering explanatory notes as appropriate in column D. You may also need to add or amend the ledger codes and descriptions in columns B and C.</t>
    </r>
  </si>
  <si>
    <r>
      <t xml:space="preserve">A separate </t>
    </r>
    <r>
      <rPr>
        <b/>
        <sz val="11"/>
        <rFont val="Arial"/>
        <family val="2"/>
      </rPr>
      <t>Capital</t>
    </r>
    <r>
      <rPr>
        <sz val="11"/>
        <rFont val="Arial"/>
        <family val="2"/>
      </rPr>
      <t xml:space="preserve"> worksheet has been included so that a summary of capital funding and expenditure can be set out to accompany the revenue budget. </t>
    </r>
    <r>
      <rPr>
        <u/>
        <sz val="11"/>
        <rFont val="Arial"/>
        <family val="2"/>
      </rPr>
      <t>Please note that this page must be completed by bank account schools as capital receipts and payments will affect the cash flow calculation</t>
    </r>
    <r>
      <rPr>
        <sz val="11"/>
        <rFont val="Arial"/>
        <family val="2"/>
      </rPr>
      <t xml:space="preserve"> (see the 'Forecasting Cash Flow' section below for full instructions).</t>
    </r>
  </si>
  <si>
    <t xml:space="preserve">     Notes</t>
  </si>
  <si>
    <t>Budgeted</t>
  </si>
  <si>
    <t xml:space="preserve">Actual </t>
  </si>
  <si>
    <t>% Received</t>
  </si>
  <si>
    <t>Revenue Budget Brought Forward</t>
  </si>
  <si>
    <t>Total Funding &amp; Income</t>
  </si>
  <si>
    <t>Contingencies for use in current year</t>
  </si>
  <si>
    <t>Contingencies for use in subsequent years</t>
  </si>
  <si>
    <t>Export Data</t>
  </si>
  <si>
    <t>Rev b/f</t>
  </si>
  <si>
    <t>0007</t>
  </si>
  <si>
    <t>Amount
Per Pupil</t>
  </si>
  <si>
    <t>Additional
Funding</t>
  </si>
  <si>
    <t>Nursery schools do not need to use this worksheet as all funding due is in the Early Years Block and so you only need to use the Early Years worksheet to estimate the total funding due to your school.</t>
  </si>
  <si>
    <t>Less: Estimated funding to be de-delegated</t>
  </si>
  <si>
    <t>Change in Schools Block funded pupil number</t>
  </si>
  <si>
    <t>Please ensure that you have entered your school's cost code at the top of the Income sheet. This will change the form to reflect the correct school type &amp; will populate the sheet with most of your school's data. You then just need to enter the pupil &amp; place data in the yellow cells below to enable a funding estimate to be calculated.</t>
  </si>
  <si>
    <t>N</t>
  </si>
  <si>
    <t>P</t>
  </si>
  <si>
    <t>S</t>
  </si>
  <si>
    <t>SP</t>
  </si>
  <si>
    <t>Total cost of  Staff</t>
  </si>
  <si>
    <t xml:space="preserve">Analysis of Staffing Expenditure </t>
  </si>
  <si>
    <t>Universal Infant Free School Meal Funding (UIFSM)</t>
  </si>
  <si>
    <t>Sports Grant Funding</t>
  </si>
  <si>
    <t>Done</t>
  </si>
  <si>
    <t>To Do</t>
  </si>
  <si>
    <t>Section 251 Schools Block</t>
  </si>
  <si>
    <t>Cash Flow Rpt</t>
  </si>
  <si>
    <t>0018</t>
  </si>
  <si>
    <t>High Needs: Special Provision Funding</t>
  </si>
  <si>
    <t>Summer Term</t>
  </si>
  <si>
    <t>Autum / Spring</t>
  </si>
  <si>
    <t>Autum / Spring Terms</t>
  </si>
  <si>
    <t>MS11 incl oncosts (contracted out)</t>
  </si>
  <si>
    <t>Comparison</t>
  </si>
  <si>
    <t>Edward Francis P Rayleigh</t>
  </si>
  <si>
    <t>St Andrew's CE Junior School Hatfield Peverel</t>
  </si>
  <si>
    <t>NMSS</t>
  </si>
  <si>
    <t>Pupils &amp; Places</t>
  </si>
  <si>
    <t>Special Provision</t>
  </si>
  <si>
    <t>Summary</t>
  </si>
  <si>
    <t>Lookups</t>
  </si>
  <si>
    <t xml:space="preserve">Total Statemented Funding    </t>
  </si>
  <si>
    <r>
      <t>Key Stage 1 Class Size Funding:</t>
    </r>
    <r>
      <rPr>
        <sz val="11"/>
        <rFont val="Arial"/>
        <family val="2"/>
      </rPr>
      <t xml:space="preserve"> Infant &amp; Primary Schools
</t>
    </r>
    <r>
      <rPr>
        <b/>
        <sz val="11"/>
        <rFont val="Arial"/>
        <family val="2"/>
      </rPr>
      <t>Universal KS1 Free School Meals Funding</t>
    </r>
    <r>
      <rPr>
        <sz val="11"/>
        <rFont val="Arial"/>
        <family val="2"/>
      </rPr>
      <t xml:space="preserve">: Infant, Primary &amp; Special Schools
</t>
    </r>
    <r>
      <rPr>
        <b/>
        <sz val="11"/>
        <rFont val="Arial"/>
        <family val="2"/>
      </rPr>
      <t>Sports &amp; PE Grant</t>
    </r>
    <r>
      <rPr>
        <sz val="11"/>
        <rFont val="Arial"/>
        <family val="2"/>
      </rPr>
      <t>: Infant, Junior, Primary &amp; Special Schools</t>
    </r>
  </si>
  <si>
    <t>Graeme Ruffels                0333013 1813</t>
  </si>
  <si>
    <t>Claire Harris                      0333013 1740</t>
  </si>
  <si>
    <t>Cedar Hall Benfleet</t>
  </si>
  <si>
    <t>Edith Borthwick The Braintree</t>
  </si>
  <si>
    <t>Glenwood Benfleet</t>
  </si>
  <si>
    <t>Lexden Springs Colchester</t>
  </si>
  <si>
    <t>Shorefields</t>
  </si>
  <si>
    <t>Wells Park Chigwell</t>
  </si>
  <si>
    <r>
      <t>Estimated Primary PE &amp; Sport Grant Funding</t>
    </r>
    <r>
      <rPr>
        <sz val="14"/>
        <rFont val="Arial"/>
        <family val="2"/>
      </rPr>
      <t xml:space="preserve"> </t>
    </r>
  </si>
  <si>
    <r>
      <t xml:space="preserve">This funding estimator should be used by all special schools, any mainstream schools that have a special unit / enhanced provision and any providers of alternative provision (CSS/ PRU). Funding estimated on this sheet will appear on the </t>
    </r>
    <r>
      <rPr>
        <b/>
        <sz val="11"/>
        <rFont val="Arial"/>
        <family val="2"/>
      </rPr>
      <t xml:space="preserve">Income </t>
    </r>
    <r>
      <rPr>
        <sz val="11"/>
        <rFont val="Arial"/>
        <family val="2"/>
      </rPr>
      <t>sheet.</t>
    </r>
  </si>
  <si>
    <t>This worksheet estimates allocations for five additional streams of funding:</t>
  </si>
  <si>
    <t>Key Stage 3 &amp; 4 Pupils</t>
  </si>
  <si>
    <t>Key Stage 1 &amp; 2 Pupils</t>
  </si>
  <si>
    <t>Estimated Universal Infant Free School Meal Funding</t>
  </si>
  <si>
    <t>Estimated High Needs Funding for Special, Enhanced &amp; Alternative Provision</t>
  </si>
  <si>
    <t>Exceptional Factor</t>
  </si>
  <si>
    <t>Lump Sum (adjusted for London Weighting)</t>
  </si>
  <si>
    <t>London Weighting</t>
  </si>
  <si>
    <t>Y</t>
  </si>
  <si>
    <t>Allowances / London Top-up</t>
  </si>
  <si>
    <t>Early Years:</t>
  </si>
  <si>
    <t>School Name</t>
  </si>
  <si>
    <t xml:space="preserve">Bulmer St Andrews CE Primary </t>
  </si>
  <si>
    <t>Chipping Hill School Witham</t>
  </si>
  <si>
    <t>Kingswood Primary School</t>
  </si>
  <si>
    <t>St Andrew's CE Primary School, North Weald</t>
  </si>
  <si>
    <t>Waltham Holy Cross Primary School</t>
  </si>
  <si>
    <t>DfE No</t>
  </si>
  <si>
    <t>Schools Finance Team    0333013 8987</t>
  </si>
  <si>
    <t>Please note that Pupil Premium funding for Nursery Pupils is calculated separately on the Early Years sheet &amp; is included in the Early Years funding total.</t>
  </si>
  <si>
    <t>Poplar Adolescent Unit</t>
  </si>
  <si>
    <t>Prior Year Comparison Data</t>
  </si>
  <si>
    <t>Current Fin. Yr</t>
  </si>
  <si>
    <t>Previous Fin.Yr</t>
  </si>
  <si>
    <t>Pupil Premium Ever6 parameters</t>
  </si>
  <si>
    <t>Enter data in the yellow cells below as directed.</t>
  </si>
  <si>
    <t>Total hours for term</t>
  </si>
  <si>
    <t>Funding per hour</t>
  </si>
  <si>
    <t>Fin.Yr Lookups</t>
  </si>
  <si>
    <t>Essex Pupils</t>
  </si>
  <si>
    <t>John Bunyan C P &amp; N Braintree</t>
  </si>
  <si>
    <t>Leverton Primary School</t>
  </si>
  <si>
    <t>Millhouse C P Laindon</t>
  </si>
  <si>
    <t>The St Aubyns Centre</t>
  </si>
  <si>
    <t>SPECIAL</t>
  </si>
  <si>
    <t>SECONDARY</t>
  </si>
  <si>
    <t>School Growth funding for planned expansion in pupil numbers as agreed by the School Organisation Team</t>
  </si>
  <si>
    <t>Adjusted Significant Increase in Pupil Numbers Funding (Trigger)</t>
  </si>
  <si>
    <t>Adjusted Key Stage 1 Class Size Funding</t>
  </si>
  <si>
    <r>
      <t xml:space="preserve">less </t>
    </r>
    <r>
      <rPr>
        <sz val="10"/>
        <rFont val="Arial"/>
        <family val="2"/>
      </rPr>
      <t>School Growth funding for planned expansion in pupil numbers as agreed by the School Organisation Team</t>
    </r>
  </si>
  <si>
    <t>De-delegated Funds (excl. ESG)</t>
  </si>
  <si>
    <t>Former ESG</t>
  </si>
  <si>
    <t>Other de-delegated items</t>
  </si>
  <si>
    <t>Section 251: De-delegated funding (excl. ESG)</t>
  </si>
  <si>
    <t>De-delegated funding (excluding ESG element)
NB: As the ESG element of de-delegation is not to be included on the year-end CFR return, it is not included in the de-delegation journal and so does not need to be allocated.</t>
  </si>
  <si>
    <t>Expenditure allocated equal to funding allocation on Income sheet =</t>
  </si>
  <si>
    <t>Total LA Funding (excl bfwd, S251 PFI funding, de-delegated funds &amp; UIFSM)</t>
  </si>
  <si>
    <r>
      <rPr>
        <b/>
        <sz val="12"/>
        <rFont val="Arial"/>
        <family val="2"/>
      </rPr>
      <t>Staff Percentage</t>
    </r>
    <r>
      <rPr>
        <b/>
        <sz val="10"/>
        <rFont val="Arial"/>
        <family val="2"/>
      </rPr>
      <t>:</t>
    </r>
    <r>
      <rPr>
        <sz val="10"/>
        <rFont val="Arial"/>
        <family val="2"/>
      </rPr>
      <t xml:space="preserve"> the percentage of LA funding (excl. UIFSM funding, S251 PFI funding &amp; de-delegated funds) that is being used to support staff expenditure (excl. catering &amp; community focused staff)</t>
    </r>
  </si>
  <si>
    <t>St Lukes P Tiptree</t>
  </si>
  <si>
    <t>Essex Primary School</t>
  </si>
  <si>
    <r>
      <t xml:space="preserve">Funded Pupils
</t>
    </r>
    <r>
      <rPr>
        <i/>
        <sz val="10"/>
        <rFont val="Arial"/>
        <family val="2"/>
      </rPr>
      <t>(do not include Enhanced Provision or Special School pupils here)</t>
    </r>
  </si>
  <si>
    <t>HN statements</t>
  </si>
  <si>
    <t>PFI Funding</t>
  </si>
  <si>
    <t>Add</t>
  </si>
  <si>
    <t>Estimated Minimum Schools Block Funding</t>
  </si>
  <si>
    <t>This sheet estimates the minimum Schools Block funding due to your school using the Minimum Funding Guarantee and Minimum Funding Per Pupil Formulas.  The estimated funding will be shown on the Income worksheet. This will help you to draft a preliminary budget plan before the final funding figure is known.</t>
  </si>
  <si>
    <t>Minimum Funding Guarantee</t>
  </si>
  <si>
    <t>Minimum Funding per Pupil</t>
  </si>
  <si>
    <t>Estimated Minimum Schools Block Funding before de-delegation</t>
  </si>
  <si>
    <t>High Needs: SEND &amp; EHCP Funding</t>
  </si>
  <si>
    <r>
      <t xml:space="preserve">Total hours of support provided per week
</t>
    </r>
    <r>
      <rPr>
        <i/>
        <sz val="10"/>
        <rFont val="Arial"/>
        <family val="2"/>
      </rPr>
      <t>(no. of pupils x hours of support provided per pupil)</t>
    </r>
  </si>
  <si>
    <t>Estimated hourly funding Rate - 3 &amp; 4 year olds</t>
  </si>
  <si>
    <t>2 year olds</t>
  </si>
  <si>
    <t xml:space="preserve"> Estimated Deprivation Funding</t>
  </si>
  <si>
    <t xml:space="preserve"> Estimated Pupil Premium Funding</t>
  </si>
  <si>
    <t xml:space="preserve"> Two Year Olds</t>
  </si>
  <si>
    <t xml:space="preserve"> Three and Four Year Olds</t>
  </si>
  <si>
    <t>Complete the table below to estimate Early Years funding due to your school.  Once completed, the total funding due will be shown on the Income sheet.</t>
  </si>
  <si>
    <t xml:space="preserve">This spreadsheet will only allow you to enter data into cells that have a red or yellow background. </t>
  </si>
  <si>
    <t xml:space="preserve">Average Year 1 &amp; 2  pupil take up (October &amp; January)  </t>
  </si>
  <si>
    <t xml:space="preserve">Total Eligible meals taken by KS1 pupils used in final calculation  </t>
  </si>
  <si>
    <t>Please read these instructions fully before entering information on to this spreadsheet</t>
  </si>
  <si>
    <t xml:space="preserve">If you are expecting any funding not already shown on this sheet as the result of using the funding estimators, enter this on the spare rows provided (rows 29-43).
Remember, that you will also need to overtype the funding estimates with the final funding allocations once they are known.
</t>
  </si>
  <si>
    <t>2) Key Stage 1 Class Size Funding</t>
  </si>
  <si>
    <t>3) Universal Free School Meal Funding</t>
  </si>
  <si>
    <t>4) Primary PE &amp; Sport Grant Funding</t>
  </si>
  <si>
    <t xml:space="preserve">Next Fin.Yr </t>
  </si>
  <si>
    <t>2019-20</t>
  </si>
  <si>
    <t>2019-2020</t>
  </si>
  <si>
    <t>1/4/19</t>
  </si>
  <si>
    <t>31/3/20</t>
  </si>
  <si>
    <t>01/04/2019</t>
  </si>
  <si>
    <t>31/03/2020</t>
  </si>
  <si>
    <t>2020-21</t>
  </si>
  <si>
    <t>South Alternative Provision School</t>
  </si>
  <si>
    <t>Ghyllgrove C P Basildon</t>
  </si>
  <si>
    <t>Brightlingsea C P</t>
  </si>
  <si>
    <t>Wickford C P</t>
  </si>
  <si>
    <r>
      <rPr>
        <u/>
        <sz val="10"/>
        <rFont val="Arial"/>
        <family val="2"/>
      </rPr>
      <t>Add:</t>
    </r>
    <r>
      <rPr>
        <sz val="10"/>
        <rFont val="Arial"/>
        <family val="2"/>
      </rPr>
      <t xml:space="preserve"> Pupil Premium funding to be spent on staffing, but not allocated to one of the above staffing cost centres</t>
    </r>
  </si>
  <si>
    <r>
      <rPr>
        <u/>
        <sz val="10"/>
        <rFont val="Arial"/>
        <family val="2"/>
      </rPr>
      <t>Add:</t>
    </r>
    <r>
      <rPr>
        <sz val="10"/>
        <rFont val="Arial"/>
        <family val="2"/>
      </rPr>
      <t xml:space="preserve"> Sports Grant  funding to be spent on staffing, but not allocated to one of the above staffing cost centres</t>
    </r>
  </si>
  <si>
    <r>
      <rPr>
        <u/>
        <sz val="10"/>
        <rFont val="Arial"/>
        <family val="2"/>
      </rPr>
      <t>Less:</t>
    </r>
    <r>
      <rPr>
        <sz val="10"/>
        <rFont val="Arial"/>
        <family val="2"/>
      </rPr>
      <t xml:space="preserve"> Non-LA income used to support staffing (e.g breakfast club income)</t>
    </r>
  </si>
  <si>
    <t>EHCP Band</t>
  </si>
  <si>
    <t>EHCP BAND</t>
  </si>
  <si>
    <t>4+</t>
  </si>
  <si>
    <t>Once this calculator has been completed the funding totals shown on the Income sheet.</t>
  </si>
  <si>
    <t xml:space="preserve">Total Funding </t>
  </si>
  <si>
    <t>Pupils from Other Local Authorities (OLA)</t>
  </si>
  <si>
    <t>PRU/CSS top-up</t>
  </si>
  <si>
    <t>Funding for Places and Pupils</t>
  </si>
  <si>
    <t>Pre-16 Place</t>
  </si>
  <si>
    <t>Post-16 Place</t>
  </si>
  <si>
    <t>Total Funding for Places</t>
  </si>
  <si>
    <t>OLA</t>
  </si>
  <si>
    <t>CLIP</t>
  </si>
  <si>
    <t>HYBRID</t>
  </si>
  <si>
    <t>BESD PRI</t>
  </si>
  <si>
    <t>BESD SEC</t>
  </si>
  <si>
    <t>Band 0</t>
  </si>
  <si>
    <t>Band 1</t>
  </si>
  <si>
    <t>Band 2</t>
  </si>
  <si>
    <t>Band 3</t>
  </si>
  <si>
    <t>Band 4</t>
  </si>
  <si>
    <t>Band 5</t>
  </si>
  <si>
    <t>Band 6</t>
  </si>
  <si>
    <t>Band 7</t>
  </si>
  <si>
    <t>Band 8</t>
  </si>
  <si>
    <t>Band 9</t>
  </si>
  <si>
    <t>Band 10</t>
  </si>
  <si>
    <t>Band SEMH Sec</t>
  </si>
  <si>
    <t>Total Pupil Top-Up Funding</t>
  </si>
  <si>
    <t>Residential Pupil Top-Up</t>
  </si>
  <si>
    <t>Top-up funding per place</t>
  </si>
  <si>
    <t>Place/Pupil Number</t>
  </si>
  <si>
    <t>Places - Occupied</t>
  </si>
  <si>
    <t>Places  - Unoccupied</t>
  </si>
  <si>
    <t>Funding for Special and Alternative Provision Schools</t>
  </si>
  <si>
    <r>
      <rPr>
        <b/>
        <u/>
        <sz val="10"/>
        <rFont val="Arial"/>
        <family val="2"/>
      </rPr>
      <t>Less</t>
    </r>
    <r>
      <rPr>
        <b/>
        <sz val="10"/>
        <rFont val="Arial"/>
        <family val="2"/>
      </rPr>
      <t xml:space="preserve"> De-delegation of ESG Services</t>
    </r>
  </si>
  <si>
    <t>COST CODE</t>
  </si>
  <si>
    <t>Enhanced Provision in Mainstream Schools</t>
  </si>
  <si>
    <t>Spreadsheet</t>
  </si>
  <si>
    <t>To do</t>
  </si>
  <si>
    <t>CLIP Pupils</t>
  </si>
  <si>
    <t>NMSS Pupils</t>
  </si>
  <si>
    <t>HYBRID Pupils</t>
  </si>
  <si>
    <t>BESD PRI Pupils</t>
  </si>
  <si>
    <t>BESD SEC Pupils</t>
  </si>
  <si>
    <t>Band 0 Pupils</t>
  </si>
  <si>
    <t>Band 1 Pupils</t>
  </si>
  <si>
    <t>Band 2 Pupils</t>
  </si>
  <si>
    <t>Band 3 Pupils</t>
  </si>
  <si>
    <t>Band 4 Pupils</t>
  </si>
  <si>
    <t>Band 5 Pupils</t>
  </si>
  <si>
    <t>Band 6 Pupils</t>
  </si>
  <si>
    <t>Band 7 Pupils</t>
  </si>
  <si>
    <t>Band 8 Pupils</t>
  </si>
  <si>
    <t>Band 9 Pupils</t>
  </si>
  <si>
    <t>Band 10 Pupils</t>
  </si>
  <si>
    <t>Band SEMH Sec Pupils</t>
  </si>
  <si>
    <t>(Reception, Year 1 &amp; Year 2)</t>
  </si>
  <si>
    <t>2021-22</t>
  </si>
  <si>
    <t>2020-2021</t>
  </si>
  <si>
    <t>1/4/20</t>
  </si>
  <si>
    <t>Premises: Add Cost Centre Description Here</t>
  </si>
  <si>
    <t>Curriculum: Add Cost Centre Description Here</t>
  </si>
  <si>
    <t>Transport: Add Cost Centre Description Here</t>
  </si>
  <si>
    <t>Administration: Add Cost Centre Description Here</t>
  </si>
  <si>
    <t>31/3/21</t>
  </si>
  <si>
    <t xml:space="preserve">Average Reception year pupil take up (October &amp; January)  </t>
  </si>
  <si>
    <t>Current year data is not needed for these rows as it is calculated in the five year budget projection tool</t>
  </si>
  <si>
    <t>01/04/2020</t>
  </si>
  <si>
    <t>31/03/2021</t>
  </si>
  <si>
    <t>NB: please note that the non-Education Services Grant (ESG) element of de-delegated funding is included as an allocation on both the income and expenditure sheets. This is because this income and expenditure needs to be included on school CFR returns.</t>
  </si>
  <si>
    <t>High Needs Statements (EHCPs)</t>
  </si>
  <si>
    <r>
      <t xml:space="preserve">This funding estimator should be used by all mainstream schools that have any pupils with Education Healthcare Plans (EHCPs). Funding estimated on this sheet will appear on the </t>
    </r>
    <r>
      <rPr>
        <b/>
        <sz val="11"/>
        <rFont val="Arial"/>
        <family val="2"/>
      </rPr>
      <t xml:space="preserve">Income </t>
    </r>
    <r>
      <rPr>
        <sz val="11"/>
        <rFont val="Arial"/>
        <family val="2"/>
      </rPr>
      <t>sheet.</t>
    </r>
  </si>
  <si>
    <t>Once this spreadsheet has been completed fully, go to the Summary sheet check the message box on row 185. Once this spreadsheet is ready to be submitted as your school's Budget Plan Notification Return a message will appear on this row confirming that the return is complete. This message box will also state if there are any errors that need to be addressed before the return can be submitted and may also raise your attention to aspects of the budget that may be of concern to the Local Authority.</t>
  </si>
  <si>
    <r>
      <t xml:space="preserve">Once this spreadsheet has been completed fully, go to the Summary sheet check the message box on row 185.
If the Message box is </t>
    </r>
    <r>
      <rPr>
        <b/>
        <sz val="11"/>
        <color rgb="FF00B050"/>
        <rFont val="Arial"/>
        <family val="2"/>
      </rPr>
      <t>green</t>
    </r>
    <r>
      <rPr>
        <sz val="11"/>
        <rFont val="Arial"/>
        <family val="2"/>
      </rPr>
      <t xml:space="preserve">, then your budget return spreasdheet is ready to be e-mailed to the School Finance team at:
</t>
    </r>
  </si>
  <si>
    <r>
      <t xml:space="preserve">If the message box is </t>
    </r>
    <r>
      <rPr>
        <b/>
        <sz val="11"/>
        <color rgb="FFFF0000"/>
        <rFont val="Arial"/>
        <family val="2"/>
      </rPr>
      <t>red</t>
    </r>
    <r>
      <rPr>
        <sz val="11"/>
        <rFont val="Arial"/>
        <family val="2"/>
      </rPr>
      <t xml:space="preserve">, then there are oustanding error messages on the Summary tab that must be addressed before the return can be submitted.
If the message box is </t>
    </r>
    <r>
      <rPr>
        <b/>
        <sz val="11"/>
        <color theme="9"/>
        <rFont val="Arial"/>
        <family val="2"/>
      </rPr>
      <t>amber</t>
    </r>
    <r>
      <rPr>
        <sz val="11"/>
        <rFont val="Arial"/>
        <family val="2"/>
      </rPr>
      <t>, then one or more areas of concern are noted at the bottom of the form.  After referring to these you may decide to make some amendments to the return before submitting your budget to the Local Authority. Please note that the Schools Finance Team may contact you for further information or may possibly request an amended return if these areas of concern are left unaddressed.</t>
    </r>
  </si>
  <si>
    <r>
      <t xml:space="preserve">Please note that we </t>
    </r>
    <r>
      <rPr>
        <b/>
        <sz val="11"/>
        <rFont val="Arial"/>
        <family val="2"/>
      </rPr>
      <t>do not</t>
    </r>
    <r>
      <rPr>
        <sz val="11"/>
        <rFont val="Arial"/>
        <family val="2"/>
      </rPr>
      <t xml:space="preserve"> require a signed copy of the Budget Plan spreadsheet. Please only e-mail a copy of the spreadsheet as described above.
If you have any queries on producing the return please your Finance Support provider in the first instance, or a member of the Schools Finance Team:</t>
    </r>
  </si>
  <si>
    <t>Minimum Funding per Pupil (MPPF) Estimate</t>
  </si>
  <si>
    <t>Mimimum total value of Lump Sum and Pupil Led Funding</t>
  </si>
  <si>
    <t>Estimated fuding for Rates, PFI &amp; Exceptional factor</t>
  </si>
  <si>
    <t>Protected Lump Sum (adjusted for London Weighting)</t>
  </si>
  <si>
    <t>V20.1</t>
  </si>
  <si>
    <t>Initial release</t>
  </si>
  <si>
    <t>Catering Income</t>
  </si>
  <si>
    <t>Swimming Income</t>
  </si>
  <si>
    <t>School Club Income</t>
  </si>
  <si>
    <t>Breakfast Club Income</t>
  </si>
  <si>
    <t>SAS Maternity Insurance</t>
  </si>
  <si>
    <t xml:space="preserve">Based on Support Staff Calculator.1 </t>
  </si>
  <si>
    <t>£300 per term</t>
  </si>
  <si>
    <t>Overtime</t>
  </si>
  <si>
    <t>Caretaker and Catering</t>
  </si>
  <si>
    <t>4 x DBS £62 plus £13 DBS Update Service</t>
  </si>
  <si>
    <t>Apprenticeship Levy</t>
  </si>
  <si>
    <t>£134 pm x 12</t>
  </si>
  <si>
    <t>PE Instructor</t>
  </si>
  <si>
    <t xml:space="preserve">PE Support Staff </t>
  </si>
  <si>
    <t>Based on Support Staff Calculator.1 less £2500 from Sports Premium</t>
  </si>
  <si>
    <t>Breakfast Club Instructor</t>
  </si>
  <si>
    <t>Breakfast Club Staff</t>
  </si>
  <si>
    <t>Creative Landscapes</t>
  </si>
  <si>
    <t xml:space="preserve">Prokill £668, Universal £63, ADT Fire £268, Reliable Fire £77 + PAT Testing £200 + 3% </t>
  </si>
  <si>
    <t>As per 19/20</t>
  </si>
  <si>
    <t xml:space="preserve">Baron (Access Control £120, Annual Service £128, Annual ARC £280, CCTV £200) £728, Apollo £260 plus 5 call outs @ £30 = £410 + 3%  </t>
  </si>
  <si>
    <t>As per 19/20 budget plus 3%</t>
  </si>
  <si>
    <t>PHS + 3%</t>
  </si>
  <si>
    <t>Based on actuals 19/20 plus 3%</t>
  </si>
  <si>
    <t>Based on actuals 19/20 plus  3%</t>
  </si>
  <si>
    <t>Castle Water based on £35 p.m.+ 3%</t>
  </si>
  <si>
    <t>Topic Books</t>
  </si>
  <si>
    <t>Swimming Expenditure</t>
  </si>
  <si>
    <t>Swimming Lessons</t>
  </si>
  <si>
    <t>As per 19/20 Budget</t>
  </si>
  <si>
    <t>As per budget 19/20 + 3%</t>
  </si>
  <si>
    <t>Dataphone £110 pm x 11 mths = £1210 plus 3%</t>
  </si>
  <si>
    <t>Professional Fees Curriculum</t>
  </si>
  <si>
    <t>As per Professional Fees spreadsheet Feb 2020</t>
  </si>
  <si>
    <t xml:space="preserve">The Change Project (Counselling) £2973 </t>
  </si>
  <si>
    <t>As per Catering Business Plan Feb 2020</t>
  </si>
  <si>
    <t>SAS actual quote</t>
  </si>
  <si>
    <t>Catering Maintenance</t>
  </si>
  <si>
    <t>Pest Control/Uniform/Fuel/Support cost included under respective cost centres</t>
  </si>
  <si>
    <t>Pupil Premium</t>
  </si>
  <si>
    <t>Pupil Premium C/F 19/20</t>
  </si>
  <si>
    <t>Includes Payroll for CC Jan, Feb and Mar 2020 (38.5 hours @ £36.63) allocation = £1410.25</t>
  </si>
  <si>
    <t>PE &amp; Sports Grant</t>
  </si>
  <si>
    <t>PE &amp; Sports Grant C/F 19/20</t>
  </si>
  <si>
    <t xml:space="preserve">H Godfrey (2 days pw for 25 days @£300 plus mileages @ £15 pd £315) </t>
  </si>
  <si>
    <t>Maternity AW (20.4.20 to 19.7.20) £11,796 plus August £6,061</t>
  </si>
  <si>
    <t>Teachers Pay Grant</t>
  </si>
  <si>
    <t>Teachers Pension Grant</t>
  </si>
  <si>
    <t>Funding from Pupil Premium</t>
  </si>
  <si>
    <t>Includes £5,000 to Classroom Support</t>
  </si>
  <si>
    <t>Based on Teaching Staff Calculator.1 includes 3% inflation as per spreadsheet version 1.</t>
  </si>
  <si>
    <t xml:space="preserve">Based on Support Staff Calculator.1  (HB 1.6.20) </t>
  </si>
  <si>
    <t>Actual Rate Bill</t>
  </si>
  <si>
    <t>ECF Mar 2020 (minus PP and PE Sports Grant)</t>
  </si>
  <si>
    <t xml:space="preserve">2 courses per term x 4 x £185 = £1480. EPHA £200. </t>
  </si>
  <si>
    <t>As per 19/20 budget plus 3% plus £200 for carpet/upholstery cleaner</t>
  </si>
  <si>
    <t>Actual</t>
  </si>
  <si>
    <t>Sickness cover 4  teachers x 2 days per term x 2 terms @ £238 p.d = £3808</t>
  </si>
  <si>
    <t>KS2 PPA - 2 x 2.5 hours p.w. x 26 weeks @ £10.20 p.h. = £1326 Plus on costs at 27.9% = £369 = £1695.  Overtime £200</t>
  </si>
  <si>
    <t>Harlow &amp; District Sports Trust - 12 x £40 x 2 Terms</t>
  </si>
  <si>
    <t>As per Catering Business Plan Mar 2020 -Covid-19 version</t>
  </si>
  <si>
    <t>Based on 125 meals per week @ £2.50 x 26 weeks = £8,125 + 5 adult meals per week @ £3.50 x 26 weeks = £455</t>
  </si>
  <si>
    <t xml:space="preserve">Darwin 32 x £16.25 = £520 + Shakespeare 25 x £16 = £400 </t>
  </si>
  <si>
    <t>Arts &amp; Crafts (20 pupils) £10 per term x 2 terms, Gardening (10 pupils) £10 per child per club, per term x 2 terms</t>
  </si>
  <si>
    <t>AW (20.4.20 to 19.7.20) plus HB (due £480 30 days after return for 30 days)</t>
  </si>
  <si>
    <t>Service suspended from April re Covid-19. Based on service resuming August 2020 to March 2021) @ £132.15 p.m. x 8</t>
  </si>
  <si>
    <t>PE Sports Grant 19/20 (As at year end actual)</t>
  </si>
  <si>
    <t>Pupil Premium 19/20 (As at year end actual)</t>
  </si>
  <si>
    <t>100 Pupils x £48.46 (Min pupil number allocation)</t>
  </si>
  <si>
    <t>100 x £136.89 (Min pupil number allocation)</t>
  </si>
  <si>
    <t>Based on 4 children per day @ £3.50 x 127 = £1778 +  4 children per day @ £2.50 x 127 = £1270</t>
  </si>
  <si>
    <t>Potters £533, Nightingale £400, Darwin £400, Shakespeare £400, General Stock £1600, ICT Curriculum £133, Maths £133, RE £66, Science £133, SEN £133, Collective Worship £66</t>
  </si>
  <si>
    <t xml:space="preserve">Paper orders x 2 @ £275. </t>
  </si>
  <si>
    <t>iP Technology £625 pq x 3 qtrs (as closed April re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</si>
</sst>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quot;£&quot;#,##0.00;\-&quot;£&quot;#,##0.00"/>
    <numFmt numFmtId="8" formatCode="&quot;£&quot;#,##0.00;[Red]\-&quot;£&quot;#,##0.00"/>
    <numFmt numFmtId="43" formatCode="_-* #,##0.00_-;\-* #,##0.00_-;_-* &quot;-&quot;??_-;_-@_-"/>
    <numFmt numFmtId="164" formatCode="&quot;£&quot;#,##0"/>
    <numFmt numFmtId="165" formatCode="_-* #,##0_-;\-* #,##0_-;_-* &quot;-&quot;??_-;_-@_-"/>
    <numFmt numFmtId="166" formatCode="0.00_ ;[Red]\-0.00\ "/>
    <numFmt numFmtId="167" formatCode="0_ ;[Red]\-0\ "/>
    <numFmt numFmtId="168" formatCode="#,##0.00_ ;[Red]\-#,##0.00\ "/>
    <numFmt numFmtId="169" formatCode="&quot;£&quot;#,##0.00"/>
  </numFmts>
  <fonts count="77" x14ac:knownFonts="1">
    <font>
      <sz val="10"/>
      <name val="Arial"/>
    </font>
    <font>
      <sz val="10"/>
      <name val="Arial"/>
      <family val="2"/>
    </font>
    <font>
      <b/>
      <u/>
      <sz val="10"/>
      <name val="Arial"/>
      <family val="2"/>
    </font>
    <font>
      <b/>
      <sz val="10"/>
      <name val="Arial"/>
      <family val="2"/>
    </font>
    <font>
      <b/>
      <sz val="10"/>
      <name val="Arial"/>
      <family val="2"/>
    </font>
    <font>
      <sz val="10"/>
      <name val="Arial"/>
      <family val="2"/>
    </font>
    <font>
      <b/>
      <sz val="14"/>
      <name val="Arial"/>
      <family val="2"/>
    </font>
    <font>
      <b/>
      <sz val="10"/>
      <color indexed="10"/>
      <name val="Arial"/>
      <family val="2"/>
    </font>
    <font>
      <u/>
      <sz val="10"/>
      <color indexed="12"/>
      <name val="Arial"/>
      <family val="2"/>
    </font>
    <font>
      <sz val="10"/>
      <color indexed="48"/>
      <name val="Arial"/>
      <family val="2"/>
    </font>
    <font>
      <b/>
      <sz val="10"/>
      <color indexed="48"/>
      <name val="Arial"/>
      <family val="2"/>
    </font>
    <font>
      <u/>
      <sz val="10"/>
      <name val="Arial"/>
      <family val="2"/>
    </font>
    <font>
      <b/>
      <sz val="8"/>
      <color indexed="81"/>
      <name val="Tahoma"/>
      <family val="2"/>
    </font>
    <font>
      <b/>
      <u/>
      <sz val="14"/>
      <name val="Arial"/>
      <family val="2"/>
    </font>
    <font>
      <sz val="14"/>
      <name val="Arial"/>
      <family val="2"/>
    </font>
    <font>
      <b/>
      <u/>
      <sz val="10"/>
      <color indexed="48"/>
      <name val="Arial"/>
      <family val="2"/>
    </font>
    <font>
      <b/>
      <sz val="12"/>
      <name val="Arial"/>
      <family val="2"/>
    </font>
    <font>
      <sz val="8"/>
      <color indexed="81"/>
      <name val="Tahoma"/>
      <family val="2"/>
    </font>
    <font>
      <u/>
      <sz val="10"/>
      <color indexed="48"/>
      <name val="Arial"/>
      <family val="2"/>
    </font>
    <font>
      <sz val="10"/>
      <color indexed="10"/>
      <name val="Arial"/>
      <family val="2"/>
    </font>
    <font>
      <b/>
      <u/>
      <sz val="10"/>
      <name val="Arial"/>
      <family val="2"/>
    </font>
    <font>
      <sz val="10"/>
      <color indexed="44"/>
      <name val="Arial"/>
      <family val="2"/>
    </font>
    <font>
      <sz val="10"/>
      <color indexed="12"/>
      <name val="Arial"/>
      <family val="2"/>
    </font>
    <font>
      <b/>
      <sz val="11"/>
      <name val="Arial"/>
      <family val="2"/>
    </font>
    <font>
      <b/>
      <sz val="9"/>
      <name val="Arial"/>
      <family val="2"/>
    </font>
    <font>
      <sz val="11"/>
      <name val="Arial"/>
      <family val="2"/>
    </font>
    <font>
      <b/>
      <sz val="10"/>
      <color indexed="44"/>
      <name val="Arial"/>
      <family val="2"/>
    </font>
    <font>
      <b/>
      <sz val="12"/>
      <color indexed="81"/>
      <name val="Tahoma"/>
      <family val="2"/>
    </font>
    <font>
      <b/>
      <sz val="12"/>
      <color indexed="10"/>
      <name val="Arial"/>
      <family val="2"/>
    </font>
    <font>
      <sz val="11"/>
      <name val="Arial"/>
      <family val="2"/>
    </font>
    <font>
      <sz val="8"/>
      <name val="Arial"/>
      <family val="2"/>
    </font>
    <font>
      <b/>
      <sz val="10"/>
      <color indexed="10"/>
      <name val="Arial"/>
      <family val="2"/>
    </font>
    <font>
      <b/>
      <u/>
      <sz val="10"/>
      <color indexed="10"/>
      <name val="Arial"/>
      <family val="2"/>
    </font>
    <font>
      <b/>
      <u/>
      <sz val="12"/>
      <name val="Arial"/>
      <family val="2"/>
    </font>
    <font>
      <sz val="10"/>
      <color indexed="81"/>
      <name val="Tahoma"/>
      <family val="2"/>
    </font>
    <font>
      <b/>
      <u/>
      <sz val="11"/>
      <name val="Arial"/>
      <family val="2"/>
    </font>
    <font>
      <b/>
      <sz val="11"/>
      <name val="Arial"/>
      <family val="2"/>
    </font>
    <font>
      <u/>
      <sz val="11"/>
      <name val="Arial"/>
      <family val="2"/>
    </font>
    <font>
      <b/>
      <u/>
      <sz val="11"/>
      <name val="Arial"/>
      <family val="2"/>
    </font>
    <font>
      <b/>
      <sz val="13"/>
      <color indexed="10"/>
      <name val="Arial"/>
      <family val="2"/>
    </font>
    <font>
      <sz val="13"/>
      <name val="Arial"/>
      <family val="2"/>
    </font>
    <font>
      <b/>
      <sz val="10"/>
      <color indexed="81"/>
      <name val="Tahoma"/>
      <family val="2"/>
    </font>
    <font>
      <b/>
      <sz val="11"/>
      <color indexed="10"/>
      <name val="Arial"/>
      <family val="2"/>
    </font>
    <font>
      <u/>
      <sz val="11"/>
      <name val="Arial"/>
      <family val="2"/>
    </font>
    <font>
      <sz val="10"/>
      <name val="Arial"/>
      <family val="2"/>
    </font>
    <font>
      <b/>
      <sz val="14"/>
      <color indexed="10"/>
      <name val="Arial"/>
      <family val="2"/>
    </font>
    <font>
      <sz val="10"/>
      <color indexed="9"/>
      <name val="Arial"/>
      <family val="2"/>
    </font>
    <font>
      <b/>
      <u/>
      <sz val="16"/>
      <name val="Arial"/>
      <family val="2"/>
    </font>
    <font>
      <sz val="10"/>
      <color indexed="12"/>
      <name val="Arial"/>
      <family val="2"/>
    </font>
    <font>
      <i/>
      <sz val="10"/>
      <name val="Arial"/>
      <family val="2"/>
    </font>
    <font>
      <u/>
      <sz val="12"/>
      <color indexed="12"/>
      <name val="Arial"/>
      <family val="2"/>
    </font>
    <font>
      <b/>
      <sz val="8"/>
      <name val="Arial"/>
      <family val="2"/>
    </font>
    <font>
      <i/>
      <u/>
      <sz val="10"/>
      <color indexed="12"/>
      <name val="Arial"/>
      <family val="2"/>
    </font>
    <font>
      <i/>
      <sz val="10"/>
      <color indexed="10"/>
      <name val="Arial"/>
      <family val="2"/>
    </font>
    <font>
      <sz val="10"/>
      <color indexed="10"/>
      <name val="Arial"/>
      <family val="2"/>
    </font>
    <font>
      <sz val="10"/>
      <color indexed="8"/>
      <name val="MS Sans Serif"/>
      <family val="2"/>
    </font>
    <font>
      <sz val="11"/>
      <color indexed="10"/>
      <name val="Arial"/>
      <family val="2"/>
    </font>
    <font>
      <sz val="9"/>
      <color indexed="81"/>
      <name val="Tahoma"/>
      <family val="2"/>
    </font>
    <font>
      <b/>
      <sz val="9"/>
      <color indexed="81"/>
      <name val="Tahoma"/>
      <family val="2"/>
    </font>
    <font>
      <b/>
      <sz val="10"/>
      <color rgb="FFFF0000"/>
      <name val="Arial"/>
      <family val="2"/>
    </font>
    <font>
      <sz val="10"/>
      <color rgb="FFFF0000"/>
      <name val="Arial"/>
      <family val="2"/>
    </font>
    <font>
      <b/>
      <sz val="11"/>
      <color rgb="FFFF0000"/>
      <name val="Arial"/>
      <family val="2"/>
    </font>
    <font>
      <b/>
      <sz val="10"/>
      <color rgb="FF000000"/>
      <name val="Arial"/>
      <family val="2"/>
    </font>
    <font>
      <i/>
      <sz val="10"/>
      <color rgb="FFFF0000"/>
      <name val="Arial"/>
      <family val="2"/>
    </font>
    <font>
      <sz val="9"/>
      <name val="Arial"/>
      <family val="2"/>
    </font>
    <font>
      <sz val="9"/>
      <color theme="1"/>
      <name val="Arial"/>
      <family val="2"/>
    </font>
    <font>
      <u/>
      <sz val="11"/>
      <color indexed="12"/>
      <name val="Arial"/>
      <family val="2"/>
    </font>
    <font>
      <sz val="12"/>
      <name val="Arial"/>
      <family val="2"/>
    </font>
    <font>
      <b/>
      <u/>
      <sz val="20"/>
      <color rgb="FFFF0000"/>
      <name val="Arial"/>
      <family val="2"/>
    </font>
    <font>
      <b/>
      <sz val="10"/>
      <color theme="1"/>
      <name val="Arial"/>
      <family val="2"/>
    </font>
    <font>
      <b/>
      <sz val="9"/>
      <color theme="1"/>
      <name val="Arial"/>
      <family val="2"/>
    </font>
    <font>
      <sz val="11"/>
      <color rgb="FFFF0000"/>
      <name val="Arial"/>
      <family val="2"/>
    </font>
    <font>
      <sz val="10"/>
      <color indexed="8"/>
      <name val="Arial"/>
      <family val="2"/>
    </font>
    <font>
      <b/>
      <sz val="10"/>
      <color rgb="FF00B050"/>
      <name val="Arial"/>
      <family val="2"/>
    </font>
    <font>
      <sz val="10"/>
      <color rgb="FF00B050"/>
      <name val="Arial"/>
      <family val="2"/>
    </font>
    <font>
      <b/>
      <sz val="11"/>
      <color rgb="FF00B050"/>
      <name val="Arial"/>
      <family val="2"/>
    </font>
    <font>
      <b/>
      <sz val="11"/>
      <color theme="9"/>
      <name val="Arial"/>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99CCFF"/>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108">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
      <left/>
      <right style="thin">
        <color indexed="22"/>
      </right>
      <top/>
      <bottom style="thin">
        <color indexed="22"/>
      </bottom>
      <diagonal/>
    </border>
    <border>
      <left style="medium">
        <color indexed="64"/>
      </left>
      <right style="thin">
        <color indexed="22"/>
      </right>
      <top style="thin">
        <color indexed="22"/>
      </top>
      <bottom style="thin">
        <color indexed="22"/>
      </bottom>
      <diagonal/>
    </border>
    <border>
      <left/>
      <right style="thin">
        <color indexed="22"/>
      </right>
      <top/>
      <bottom/>
      <diagonal/>
    </border>
    <border>
      <left/>
      <right/>
      <top style="thin">
        <color indexed="22"/>
      </top>
      <bottom/>
      <diagonal/>
    </border>
    <border>
      <left style="medium">
        <color indexed="64"/>
      </left>
      <right style="thin">
        <color indexed="22"/>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22"/>
      </top>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bottom/>
      <diagonal/>
    </border>
    <border>
      <left style="thin">
        <color indexed="22"/>
      </left>
      <right style="thin">
        <color indexed="64"/>
      </right>
      <top/>
      <bottom/>
      <diagonal/>
    </border>
    <border>
      <left style="thin">
        <color indexed="22"/>
      </left>
      <right style="thin">
        <color indexed="64"/>
      </right>
      <top style="thin">
        <color indexed="22"/>
      </top>
      <bottom style="thin">
        <color indexed="22"/>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22"/>
      </bottom>
      <diagonal/>
    </border>
    <border>
      <left/>
      <right style="medium">
        <color indexed="64"/>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right style="medium">
        <color indexed="64"/>
      </right>
      <top style="thin">
        <color indexed="64"/>
      </top>
      <bottom style="thin">
        <color indexed="64"/>
      </bottom>
      <diagonal/>
    </border>
    <border>
      <left style="thin">
        <color indexed="22"/>
      </left>
      <right style="medium">
        <color indexed="64"/>
      </right>
      <top/>
      <bottom style="thin">
        <color indexed="22"/>
      </bottom>
      <diagonal/>
    </border>
    <border>
      <left/>
      <right style="medium">
        <color indexed="64"/>
      </right>
      <top style="thin">
        <color indexed="64"/>
      </top>
      <bottom style="double">
        <color indexed="64"/>
      </bottom>
      <diagonal/>
    </border>
    <border>
      <left/>
      <right style="medium">
        <color indexed="64"/>
      </right>
      <top style="thin">
        <color indexed="22"/>
      </top>
      <bottom/>
      <diagonal/>
    </border>
    <border>
      <left style="thin">
        <color indexed="22"/>
      </left>
      <right style="medium">
        <color indexed="64"/>
      </right>
      <top style="thin">
        <color indexed="22"/>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22"/>
      </left>
      <right/>
      <top style="thin">
        <color indexed="22"/>
      </top>
      <bottom style="thin">
        <color indexed="22"/>
      </bottom>
      <diagonal/>
    </border>
    <border>
      <left style="thin">
        <color indexed="22"/>
      </left>
      <right/>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77111117893"/>
      </top>
      <bottom/>
      <diagonal/>
    </border>
    <border>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indexed="22"/>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theme="0" tint="-0.14996795556505021"/>
      </top>
      <bottom style="thin">
        <color theme="0" tint="-0.1499679555650502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theme="0" tint="-0.14996795556505021"/>
      </top>
      <bottom style="thin">
        <color indexed="64"/>
      </bottom>
      <diagonal/>
    </border>
    <border>
      <left/>
      <right/>
      <top/>
      <bottom style="thin">
        <color theme="0" tint="-0.14996795556505021"/>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55" fillId="0" borderId="0"/>
    <xf numFmtId="0" fontId="1" fillId="0" borderId="0"/>
    <xf numFmtId="43" fontId="1" fillId="0" borderId="0" applyFont="0" applyFill="0" applyBorder="0" applyAlignment="0" applyProtection="0"/>
  </cellStyleXfs>
  <cellXfs count="1300">
    <xf numFmtId="0" fontId="0" fillId="0" borderId="0" xfId="0"/>
    <xf numFmtId="0" fontId="0" fillId="2" borderId="0" xfId="0" applyFill="1" applyProtection="1"/>
    <xf numFmtId="0" fontId="0" fillId="2" borderId="0" xfId="0" applyFill="1" applyAlignment="1" applyProtection="1">
      <alignment wrapText="1"/>
    </xf>
    <xf numFmtId="0" fontId="2" fillId="2" borderId="0" xfId="0" applyFont="1" applyFill="1" applyProtection="1"/>
    <xf numFmtId="0" fontId="7" fillId="2" borderId="0"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2" xfId="0" applyBorder="1" applyProtection="1"/>
    <xf numFmtId="0" fontId="5" fillId="0" borderId="7" xfId="0" applyFont="1" applyBorder="1" applyAlignment="1" applyProtection="1">
      <alignment horizontal="center"/>
    </xf>
    <xf numFmtId="0" fontId="0" fillId="3" borderId="2" xfId="0" applyFill="1" applyBorder="1" applyProtection="1"/>
    <xf numFmtId="0" fontId="0" fillId="2" borderId="0" xfId="0" applyFill="1" applyBorder="1" applyProtection="1"/>
    <xf numFmtId="0" fontId="0" fillId="0" borderId="2" xfId="0" applyBorder="1" applyAlignment="1" applyProtection="1">
      <alignment horizontal="left"/>
    </xf>
    <xf numFmtId="0" fontId="3" fillId="0" borderId="2" xfId="0" applyFont="1" applyBorder="1" applyAlignment="1" applyProtection="1">
      <alignment horizontal="left"/>
    </xf>
    <xf numFmtId="0" fontId="4" fillId="0" borderId="9" xfId="0" applyFont="1" applyBorder="1" applyProtection="1"/>
    <xf numFmtId="0" fontId="2" fillId="3" borderId="10" xfId="0" applyFont="1" applyFill="1" applyBorder="1" applyProtection="1"/>
    <xf numFmtId="0" fontId="11" fillId="3" borderId="0" xfId="0" applyFont="1" applyFill="1" applyBorder="1" applyAlignment="1" applyProtection="1">
      <alignment horizontal="center"/>
    </xf>
    <xf numFmtId="0" fontId="0" fillId="3" borderId="0" xfId="0" applyFill="1" applyBorder="1" applyProtection="1"/>
    <xf numFmtId="0" fontId="0" fillId="3" borderId="0" xfId="0" applyFill="1" applyBorder="1" applyAlignment="1" applyProtection="1">
      <alignment wrapText="1"/>
    </xf>
    <xf numFmtId="0" fontId="2" fillId="3" borderId="11" xfId="0" applyFont="1" applyFill="1" applyBorder="1" applyProtection="1"/>
    <xf numFmtId="0" fontId="11" fillId="3" borderId="12" xfId="0" applyFont="1" applyFill="1" applyBorder="1" applyAlignment="1" applyProtection="1">
      <alignment horizontal="center"/>
    </xf>
    <xf numFmtId="0" fontId="0" fillId="3" borderId="12" xfId="0" applyFill="1" applyBorder="1" applyProtection="1"/>
    <xf numFmtId="0" fontId="0" fillId="3" borderId="12" xfId="0" applyFill="1" applyBorder="1" applyAlignment="1" applyProtection="1">
      <alignment wrapText="1"/>
    </xf>
    <xf numFmtId="0" fontId="15" fillId="2" borderId="0" xfId="0" applyFont="1" applyFill="1" applyBorder="1" applyProtection="1"/>
    <xf numFmtId="0" fontId="18" fillId="2" borderId="0" xfId="0" applyFont="1" applyFill="1" applyBorder="1" applyAlignment="1" applyProtection="1">
      <alignment horizontal="center"/>
    </xf>
    <xf numFmtId="0" fontId="9" fillId="2" borderId="0" xfId="0" applyFont="1" applyFill="1" applyBorder="1" applyProtection="1"/>
    <xf numFmtId="0" fontId="9" fillId="2" borderId="0" xfId="0" applyFont="1" applyFill="1" applyBorder="1" applyAlignment="1" applyProtection="1">
      <alignment wrapText="1"/>
    </xf>
    <xf numFmtId="0" fontId="10" fillId="2" borderId="0" xfId="0" applyFont="1" applyFill="1" applyBorder="1" applyProtection="1"/>
    <xf numFmtId="0" fontId="5" fillId="2" borderId="0" xfId="0" applyFont="1" applyFill="1" applyAlignment="1" applyProtection="1">
      <alignment horizontal="center"/>
    </xf>
    <xf numFmtId="0" fontId="5" fillId="0" borderId="3" xfId="0" applyFont="1" applyBorder="1" applyAlignment="1" applyProtection="1">
      <alignment horizontal="center" vertical="center"/>
    </xf>
    <xf numFmtId="0" fontId="4" fillId="0" borderId="13" xfId="0" applyFont="1" applyBorder="1" applyAlignment="1" applyProtection="1">
      <alignment horizontal="center" wrapText="1"/>
    </xf>
    <xf numFmtId="0" fontId="5" fillId="3" borderId="14" xfId="0" applyFont="1" applyFill="1" applyBorder="1" applyAlignment="1" applyProtection="1">
      <alignment horizontal="center" wrapText="1"/>
    </xf>
    <xf numFmtId="0" fontId="5" fillId="3" borderId="15" xfId="0" applyFont="1" applyFill="1" applyBorder="1" applyAlignment="1" applyProtection="1">
      <alignment horizontal="center" wrapText="1"/>
    </xf>
    <xf numFmtId="0" fontId="5" fillId="2" borderId="0" xfId="0" applyFont="1" applyFill="1" applyBorder="1" applyProtection="1"/>
    <xf numFmtId="0" fontId="5" fillId="2" borderId="0" xfId="0" applyFont="1" applyFill="1" applyBorder="1" applyAlignment="1" applyProtection="1">
      <alignment horizontal="center"/>
    </xf>
    <xf numFmtId="0" fontId="0" fillId="2" borderId="0" xfId="0" applyFill="1" applyBorder="1" applyAlignment="1" applyProtection="1"/>
    <xf numFmtId="0" fontId="11" fillId="2" borderId="0" xfId="0" applyFont="1" applyFill="1" applyProtection="1"/>
    <xf numFmtId="0" fontId="11" fillId="2" borderId="0" xfId="0" applyFont="1" applyFill="1" applyAlignment="1" applyProtection="1">
      <alignment horizontal="center"/>
    </xf>
    <xf numFmtId="0" fontId="4" fillId="2" borderId="0" xfId="0" applyFont="1" applyFill="1" applyBorder="1" applyAlignment="1" applyProtection="1">
      <alignment horizontal="right"/>
    </xf>
    <xf numFmtId="0" fontId="0" fillId="2" borderId="0" xfId="0" applyFill="1" applyBorder="1" applyAlignment="1" applyProtection="1">
      <alignment wrapText="1"/>
    </xf>
    <xf numFmtId="0" fontId="4" fillId="3" borderId="16" xfId="0" applyFont="1" applyFill="1" applyBorder="1" applyAlignment="1" applyProtection="1">
      <alignment vertical="center"/>
    </xf>
    <xf numFmtId="0" fontId="0" fillId="3" borderId="17" xfId="0" applyFill="1" applyBorder="1" applyProtection="1"/>
    <xf numFmtId="0" fontId="0" fillId="3" borderId="0" xfId="0" applyFill="1" applyBorder="1"/>
    <xf numFmtId="166" fontId="0" fillId="4" borderId="19" xfId="0" applyNumberFormat="1" applyFill="1" applyBorder="1" applyAlignment="1" applyProtection="1">
      <alignment horizontal="center"/>
      <protection locked="0"/>
    </xf>
    <xf numFmtId="0" fontId="0" fillId="2" borderId="0" xfId="0" applyFill="1" applyBorder="1"/>
    <xf numFmtId="0" fontId="0" fillId="0" borderId="2" xfId="0" applyBorder="1" applyAlignment="1" applyProtection="1">
      <alignment vertical="top" wrapText="1"/>
    </xf>
    <xf numFmtId="0" fontId="0" fillId="2" borderId="0" xfId="0" applyFill="1"/>
    <xf numFmtId="0" fontId="4" fillId="2" borderId="0" xfId="0" applyFont="1" applyFill="1" applyProtection="1"/>
    <xf numFmtId="0" fontId="2" fillId="3" borderId="20" xfId="0" applyFont="1" applyFill="1" applyBorder="1"/>
    <xf numFmtId="0" fontId="0" fillId="3" borderId="21" xfId="0" applyFill="1" applyBorder="1"/>
    <xf numFmtId="0" fontId="0" fillId="3" borderId="22" xfId="0" applyFill="1" applyBorder="1"/>
    <xf numFmtId="0" fontId="0" fillId="3" borderId="10" xfId="0" applyFill="1" applyBorder="1"/>
    <xf numFmtId="0" fontId="0" fillId="3" borderId="23" xfId="0" applyFill="1" applyBorder="1"/>
    <xf numFmtId="0" fontId="0" fillId="3" borderId="11" xfId="0" applyFill="1" applyBorder="1"/>
    <xf numFmtId="0" fontId="0" fillId="3" borderId="12" xfId="0" applyFill="1" applyBorder="1"/>
    <xf numFmtId="0" fontId="0" fillId="3" borderId="9" xfId="0" applyFill="1" applyBorder="1"/>
    <xf numFmtId="0" fontId="4" fillId="3" borderId="11" xfId="0" applyFont="1" applyFill="1" applyBorder="1" applyAlignment="1">
      <alignment horizontal="left"/>
    </xf>
    <xf numFmtId="0" fontId="0" fillId="3" borderId="0" xfId="0" applyFill="1"/>
    <xf numFmtId="1" fontId="16" fillId="4" borderId="16" xfId="1"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xf>
    <xf numFmtId="165" fontId="0" fillId="2" borderId="0" xfId="1" applyNumberFormat="1" applyFont="1" applyFill="1" applyProtection="1"/>
    <xf numFmtId="0" fontId="0" fillId="2" borderId="0" xfId="1" applyNumberFormat="1" applyFont="1" applyFill="1" applyAlignment="1" applyProtection="1">
      <alignment horizontal="center"/>
    </xf>
    <xf numFmtId="165" fontId="0" fillId="2" borderId="0" xfId="1" applyNumberFormat="1" applyFont="1" applyFill="1" applyBorder="1" applyProtection="1"/>
    <xf numFmtId="165" fontId="16" fillId="3" borderId="16" xfId="1" applyNumberFormat="1" applyFont="1" applyFill="1" applyBorder="1" applyAlignment="1" applyProtection="1">
      <alignment horizontal="center" vertical="center"/>
    </xf>
    <xf numFmtId="165" fontId="2" fillId="2" borderId="0" xfId="1" applyNumberFormat="1" applyFont="1" applyFill="1" applyProtection="1"/>
    <xf numFmtId="0" fontId="2" fillId="2" borderId="0" xfId="1" applyNumberFormat="1" applyFont="1" applyFill="1" applyAlignment="1" applyProtection="1">
      <alignment horizontal="center"/>
    </xf>
    <xf numFmtId="165" fontId="2" fillId="0" borderId="2" xfId="1" applyNumberFormat="1" applyFont="1" applyBorder="1" applyAlignment="1" applyProtection="1">
      <alignment horizontal="center" vertical="center"/>
    </xf>
    <xf numFmtId="0" fontId="2" fillId="0" borderId="3" xfId="1" applyNumberFormat="1" applyFont="1" applyBorder="1" applyAlignment="1" applyProtection="1">
      <alignment horizontal="center" vertical="center" wrapText="1"/>
    </xf>
    <xf numFmtId="165" fontId="2" fillId="0" borderId="4" xfId="1" applyNumberFormat="1" applyFont="1" applyBorder="1" applyAlignment="1" applyProtection="1">
      <alignment horizontal="center" vertical="center" wrapText="1"/>
    </xf>
    <xf numFmtId="165" fontId="2" fillId="0" borderId="4" xfId="1" applyNumberFormat="1" applyFont="1" applyBorder="1" applyAlignment="1" applyProtection="1">
      <alignment horizontal="center" vertical="center"/>
    </xf>
    <xf numFmtId="165" fontId="2" fillId="0" borderId="13" xfId="1" applyNumberFormat="1" applyFont="1" applyBorder="1" applyAlignment="1" applyProtection="1">
      <alignment horizontal="center" vertical="center"/>
    </xf>
    <xf numFmtId="165" fontId="2" fillId="0" borderId="24" xfId="1" applyNumberFormat="1" applyFont="1" applyBorder="1" applyProtection="1"/>
    <xf numFmtId="0" fontId="2" fillId="0" borderId="25" xfId="1" applyNumberFormat="1" applyFont="1" applyBorder="1" applyAlignment="1" applyProtection="1">
      <alignment horizontal="center"/>
    </xf>
    <xf numFmtId="165" fontId="0" fillId="0" borderId="26" xfId="1" applyNumberFormat="1" applyFont="1" applyBorder="1" applyProtection="1"/>
    <xf numFmtId="165" fontId="0" fillId="0" borderId="27" xfId="1" applyNumberFormat="1" applyFont="1" applyBorder="1" applyProtection="1"/>
    <xf numFmtId="0" fontId="2" fillId="0" borderId="25" xfId="1" applyNumberFormat="1" applyFont="1" applyFill="1" applyBorder="1" applyAlignment="1" applyProtection="1">
      <alignment horizontal="center"/>
    </xf>
    <xf numFmtId="165" fontId="0" fillId="0" borderId="26" xfId="1" applyNumberFormat="1" applyFont="1" applyFill="1" applyBorder="1" applyAlignment="1" applyProtection="1">
      <alignment wrapText="1"/>
    </xf>
    <xf numFmtId="165" fontId="4" fillId="2" borderId="0"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165" fontId="0" fillId="3" borderId="10" xfId="1" applyNumberFormat="1" applyFont="1" applyFill="1" applyBorder="1" applyProtection="1"/>
    <xf numFmtId="0" fontId="0" fillId="3" borderId="0" xfId="1" applyNumberFormat="1" applyFont="1" applyFill="1" applyBorder="1" applyAlignment="1" applyProtection="1">
      <alignment horizontal="center"/>
    </xf>
    <xf numFmtId="165" fontId="0" fillId="3" borderId="0" xfId="1" applyNumberFormat="1" applyFont="1" applyFill="1" applyBorder="1" applyProtection="1"/>
    <xf numFmtId="165" fontId="0" fillId="3" borderId="11" xfId="1" applyNumberFormat="1" applyFont="1" applyFill="1" applyBorder="1" applyProtection="1"/>
    <xf numFmtId="0" fontId="0" fillId="3" borderId="12" xfId="1" applyNumberFormat="1" applyFont="1" applyFill="1" applyBorder="1" applyAlignment="1" applyProtection="1">
      <alignment horizontal="center"/>
    </xf>
    <xf numFmtId="165" fontId="0" fillId="3" borderId="12" xfId="1" applyNumberFormat="1" applyFont="1" applyFill="1" applyBorder="1" applyProtection="1"/>
    <xf numFmtId="165" fontId="0" fillId="3" borderId="9" xfId="1" applyNumberFormat="1" applyFont="1" applyFill="1" applyBorder="1" applyProtection="1"/>
    <xf numFmtId="0" fontId="5" fillId="0" borderId="28" xfId="0" applyFont="1" applyBorder="1" applyAlignment="1" applyProtection="1">
      <alignment vertical="center" wrapText="1"/>
    </xf>
    <xf numFmtId="0" fontId="5" fillId="0" borderId="7"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3" borderId="14"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0" fillId="2" borderId="0" xfId="0" applyFill="1" applyAlignment="1" applyProtection="1"/>
    <xf numFmtId="0" fontId="0" fillId="4" borderId="19" xfId="0" applyFill="1" applyBorder="1" applyAlignment="1" applyProtection="1">
      <protection locked="0"/>
    </xf>
    <xf numFmtId="0" fontId="0" fillId="4" borderId="26" xfId="0" applyFill="1" applyBorder="1" applyAlignment="1" applyProtection="1">
      <alignment horizontal="left" vertical="top" wrapText="1"/>
      <protection locked="0"/>
    </xf>
    <xf numFmtId="0" fontId="0" fillId="4" borderId="29" xfId="0" applyFill="1" applyBorder="1" applyAlignment="1" applyProtection="1">
      <alignment horizontal="left" vertical="top" wrapText="1"/>
      <protection locked="0"/>
    </xf>
    <xf numFmtId="0" fontId="0" fillId="4" borderId="19" xfId="0" applyFill="1" applyBorder="1" applyAlignment="1" applyProtection="1">
      <alignment horizontal="left" vertical="top" wrapText="1"/>
      <protection locked="0"/>
    </xf>
    <xf numFmtId="0" fontId="0" fillId="4" borderId="30" xfId="0" applyFill="1" applyBorder="1" applyAlignment="1" applyProtection="1">
      <alignment horizontal="left" vertical="top" wrapText="1"/>
      <protection locked="0"/>
    </xf>
    <xf numFmtId="0" fontId="0" fillId="3" borderId="4" xfId="0" applyFill="1" applyBorder="1" applyAlignment="1" applyProtection="1">
      <alignment horizontal="left" vertical="top"/>
    </xf>
    <xf numFmtId="0" fontId="0" fillId="3" borderId="4" xfId="0" applyFill="1" applyBorder="1" applyAlignment="1" applyProtection="1">
      <alignment horizontal="left" vertical="top" wrapText="1"/>
    </xf>
    <xf numFmtId="0" fontId="0" fillId="4" borderId="19" xfId="0" applyFill="1" applyBorder="1" applyAlignment="1" applyProtection="1">
      <alignment vertical="top" wrapText="1"/>
      <protection locked="0"/>
    </xf>
    <xf numFmtId="0" fontId="0" fillId="4" borderId="31" xfId="0" applyFill="1" applyBorder="1" applyAlignment="1" applyProtection="1">
      <alignment horizontal="left" vertical="top" wrapText="1"/>
      <protection locked="0"/>
    </xf>
    <xf numFmtId="0" fontId="1" fillId="3" borderId="32" xfId="0" applyFont="1" applyFill="1" applyBorder="1" applyAlignment="1" applyProtection="1">
      <alignment horizontal="left" vertical="top"/>
    </xf>
    <xf numFmtId="0" fontId="0" fillId="3" borderId="32" xfId="0" applyFill="1" applyBorder="1" applyAlignment="1" applyProtection="1">
      <alignment horizontal="left" vertical="top" wrapText="1"/>
    </xf>
    <xf numFmtId="0" fontId="0" fillId="4" borderId="33"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34" xfId="0" applyFill="1" applyBorder="1" applyAlignment="1" applyProtection="1">
      <alignment horizontal="left" vertical="top" wrapText="1"/>
      <protection locked="0"/>
    </xf>
    <xf numFmtId="0" fontId="1" fillId="0" borderId="4" xfId="0" applyFont="1" applyFill="1" applyBorder="1" applyAlignment="1" applyProtection="1">
      <alignment horizontal="left" vertical="top"/>
    </xf>
    <xf numFmtId="0" fontId="0" fillId="0" borderId="4" xfId="0" applyFill="1" applyBorder="1" applyAlignment="1" applyProtection="1">
      <alignment horizontal="left" vertical="top" wrapText="1"/>
    </xf>
    <xf numFmtId="0" fontId="1" fillId="4" borderId="19" xfId="0" applyFont="1" applyFill="1" applyBorder="1" applyAlignment="1" applyProtection="1">
      <alignment horizontal="left" vertical="top"/>
      <protection locked="0"/>
    </xf>
    <xf numFmtId="0" fontId="1" fillId="4" borderId="31" xfId="0" applyFont="1" applyFill="1" applyBorder="1" applyAlignment="1" applyProtection="1">
      <alignment horizontal="left" vertical="top"/>
      <protection locked="0"/>
    </xf>
    <xf numFmtId="0" fontId="0" fillId="4" borderId="19" xfId="0" applyFill="1" applyBorder="1" applyAlignment="1" applyProtection="1">
      <alignment vertical="top"/>
      <protection locked="0"/>
    </xf>
    <xf numFmtId="0" fontId="1" fillId="0" borderId="4" xfId="0" applyFont="1" applyBorder="1" applyAlignment="1" applyProtection="1">
      <alignment horizontal="left" vertical="top"/>
    </xf>
    <xf numFmtId="0" fontId="0" fillId="4" borderId="4" xfId="0" applyFill="1" applyBorder="1" applyAlignment="1" applyProtection="1">
      <alignment horizontal="left" vertical="top" wrapText="1"/>
      <protection locked="0"/>
    </xf>
    <xf numFmtId="0" fontId="1" fillId="4" borderId="26" xfId="0" applyFont="1" applyFill="1" applyBorder="1" applyAlignment="1" applyProtection="1">
      <alignment horizontal="left" vertical="top"/>
      <protection locked="0"/>
    </xf>
    <xf numFmtId="0" fontId="1" fillId="4" borderId="29" xfId="0" applyFont="1" applyFill="1" applyBorder="1" applyAlignment="1" applyProtection="1">
      <alignment horizontal="left" vertical="top"/>
      <protection locked="0"/>
    </xf>
    <xf numFmtId="0" fontId="1" fillId="4" borderId="30" xfId="0" applyFont="1" applyFill="1" applyBorder="1" applyAlignment="1" applyProtection="1">
      <alignment horizontal="left" vertical="top"/>
      <protection locked="0"/>
    </xf>
    <xf numFmtId="0" fontId="5" fillId="3" borderId="3" xfId="0" applyFont="1" applyFill="1" applyBorder="1" applyAlignment="1" applyProtection="1">
      <alignment horizontal="center" vertical="top"/>
    </xf>
    <xf numFmtId="0" fontId="5" fillId="3" borderId="32" xfId="0" applyFont="1" applyFill="1" applyBorder="1" applyAlignment="1" applyProtection="1">
      <alignment horizontal="center" vertical="top"/>
    </xf>
    <xf numFmtId="0" fontId="5" fillId="0" borderId="3" xfId="0" applyFont="1" applyBorder="1" applyAlignment="1" applyProtection="1">
      <alignment horizontal="center" vertical="top"/>
    </xf>
    <xf numFmtId="0" fontId="5" fillId="0" borderId="4" xfId="0" applyFont="1" applyBorder="1" applyAlignment="1" applyProtection="1">
      <alignment horizontal="center" vertical="top"/>
    </xf>
    <xf numFmtId="0" fontId="0" fillId="0" borderId="14" xfId="1" quotePrefix="1" applyNumberFormat="1" applyFont="1" applyBorder="1" applyAlignment="1" applyProtection="1">
      <alignment horizontal="center" vertical="top"/>
    </xf>
    <xf numFmtId="165" fontId="0" fillId="4" borderId="19" xfId="1" applyNumberFormat="1" applyFont="1" applyFill="1" applyBorder="1" applyAlignment="1" applyProtection="1">
      <alignment vertical="top" wrapText="1"/>
      <protection locked="0"/>
    </xf>
    <xf numFmtId="0" fontId="0" fillId="0" borderId="31" xfId="1" quotePrefix="1" applyNumberFormat="1" applyFont="1" applyBorder="1" applyAlignment="1" applyProtection="1">
      <alignment horizontal="center" vertical="top"/>
    </xf>
    <xf numFmtId="165" fontId="0" fillId="4" borderId="31" xfId="1" applyNumberFormat="1" applyFont="1" applyFill="1" applyBorder="1" applyAlignment="1" applyProtection="1">
      <alignment vertical="top" wrapText="1"/>
      <protection locked="0"/>
    </xf>
    <xf numFmtId="165" fontId="4" fillId="3" borderId="8" xfId="1" applyNumberFormat="1" applyFont="1" applyFill="1" applyBorder="1" applyAlignment="1" applyProtection="1">
      <alignment horizontal="right" vertical="top"/>
    </xf>
    <xf numFmtId="0" fontId="4" fillId="3" borderId="5" xfId="1" applyNumberFormat="1" applyFont="1" applyFill="1" applyBorder="1" applyAlignment="1" applyProtection="1">
      <alignment horizontal="center" vertical="top"/>
    </xf>
    <xf numFmtId="165" fontId="0" fillId="3" borderId="6" xfId="1" applyNumberFormat="1" applyFont="1" applyFill="1" applyBorder="1" applyAlignment="1" applyProtection="1">
      <alignment vertical="top"/>
    </xf>
    <xf numFmtId="165" fontId="2" fillId="0" borderId="24" xfId="1" applyNumberFormat="1" applyFont="1" applyFill="1" applyBorder="1" applyAlignment="1" applyProtection="1">
      <alignment vertical="top"/>
    </xf>
    <xf numFmtId="0" fontId="2" fillId="0" borderId="25" xfId="1" applyNumberFormat="1" applyFont="1" applyFill="1" applyBorder="1" applyAlignment="1" applyProtection="1">
      <alignment horizontal="center" vertical="top"/>
    </xf>
    <xf numFmtId="165" fontId="0" fillId="0" borderId="26" xfId="1" applyNumberFormat="1" applyFont="1" applyFill="1" applyBorder="1" applyAlignment="1" applyProtection="1">
      <alignment vertical="top" wrapText="1"/>
    </xf>
    <xf numFmtId="165" fontId="0" fillId="0" borderId="36" xfId="1" applyNumberFormat="1" applyFont="1" applyBorder="1" applyAlignment="1" applyProtection="1">
      <alignment vertical="top"/>
    </xf>
    <xf numFmtId="0" fontId="1" fillId="4" borderId="36" xfId="0" applyFont="1" applyFill="1" applyBorder="1" applyProtection="1">
      <protection locked="0"/>
    </xf>
    <xf numFmtId="0" fontId="5" fillId="4" borderId="19" xfId="0" applyFont="1" applyFill="1" applyBorder="1" applyAlignment="1" applyProtection="1">
      <alignment horizontal="center"/>
      <protection locked="0"/>
    </xf>
    <xf numFmtId="0" fontId="0" fillId="4" borderId="14" xfId="1" applyNumberFormat="1" applyFont="1" applyFill="1" applyBorder="1" applyAlignment="1" applyProtection="1">
      <alignment horizontal="center" vertical="top" wrapText="1"/>
      <protection locked="0"/>
    </xf>
    <xf numFmtId="0" fontId="0" fillId="4" borderId="15" xfId="1" applyNumberFormat="1" applyFont="1" applyFill="1" applyBorder="1" applyAlignment="1" applyProtection="1">
      <alignment horizontal="center" vertical="top" wrapText="1"/>
      <protection locked="0"/>
    </xf>
    <xf numFmtId="0" fontId="0" fillId="3" borderId="19" xfId="1" quotePrefix="1" applyNumberFormat="1" applyFont="1" applyFill="1" applyBorder="1" applyAlignment="1" applyProtection="1">
      <alignment horizontal="center"/>
    </xf>
    <xf numFmtId="0" fontId="5" fillId="4" borderId="25" xfId="0" quotePrefix="1" applyFont="1" applyFill="1" applyBorder="1" applyAlignment="1" applyProtection="1">
      <alignment horizontal="center" vertical="top"/>
      <protection locked="0"/>
    </xf>
    <xf numFmtId="0" fontId="0" fillId="4" borderId="26" xfId="0" applyFill="1" applyBorder="1" applyAlignment="1" applyProtection="1">
      <alignment horizontal="left" vertical="top"/>
      <protection locked="0"/>
    </xf>
    <xf numFmtId="0" fontId="5" fillId="4" borderId="7" xfId="0" quotePrefix="1" applyFont="1" applyFill="1" applyBorder="1" applyAlignment="1" applyProtection="1">
      <alignment horizontal="center" vertical="top"/>
      <protection locked="0"/>
    </xf>
    <xf numFmtId="0" fontId="0" fillId="4" borderId="29" xfId="0" applyFill="1" applyBorder="1" applyAlignment="1" applyProtection="1">
      <alignment horizontal="left" vertical="top"/>
      <protection locked="0"/>
    </xf>
    <xf numFmtId="0" fontId="5" fillId="4" borderId="14" xfId="0" quotePrefix="1" applyFont="1" applyFill="1" applyBorder="1" applyAlignment="1" applyProtection="1">
      <alignment horizontal="center" vertical="top"/>
      <protection locked="0"/>
    </xf>
    <xf numFmtId="0" fontId="5" fillId="4" borderId="19" xfId="0" applyFont="1" applyFill="1" applyBorder="1" applyAlignment="1" applyProtection="1">
      <alignment vertical="top"/>
      <protection locked="0"/>
    </xf>
    <xf numFmtId="0" fontId="22" fillId="4" borderId="15" xfId="0" applyFont="1" applyFill="1" applyBorder="1" applyAlignment="1" applyProtection="1">
      <alignment horizontal="center" vertical="top"/>
      <protection locked="0"/>
    </xf>
    <xf numFmtId="0" fontId="22" fillId="4" borderId="31" xfId="0" applyFont="1" applyFill="1" applyBorder="1" applyAlignment="1" applyProtection="1">
      <alignment vertical="top"/>
      <protection locked="0"/>
    </xf>
    <xf numFmtId="0" fontId="22" fillId="4" borderId="31" xfId="0" applyFont="1" applyFill="1" applyBorder="1" applyAlignment="1" applyProtection="1">
      <alignment horizontal="left" vertical="top"/>
      <protection locked="0"/>
    </xf>
    <xf numFmtId="0" fontId="5" fillId="4" borderId="35" xfId="0" quotePrefix="1" applyFont="1" applyFill="1" applyBorder="1" applyAlignment="1" applyProtection="1">
      <alignment horizontal="center" vertical="top"/>
      <protection locked="0"/>
    </xf>
    <xf numFmtId="0" fontId="1" fillId="4" borderId="33" xfId="0" applyFont="1" applyFill="1" applyBorder="1" applyAlignment="1" applyProtection="1">
      <alignment horizontal="left" vertical="top"/>
      <protection locked="0"/>
    </xf>
    <xf numFmtId="0" fontId="5" fillId="4" borderId="5" xfId="0" quotePrefix="1" applyFont="1" applyFill="1" applyBorder="1" applyAlignment="1" applyProtection="1">
      <alignment horizontal="center" vertical="top"/>
      <protection locked="0"/>
    </xf>
    <xf numFmtId="0" fontId="1" fillId="4" borderId="6" xfId="0" applyFont="1" applyFill="1" applyBorder="1" applyAlignment="1" applyProtection="1">
      <alignment horizontal="left" vertical="top"/>
      <protection locked="0"/>
    </xf>
    <xf numFmtId="0" fontId="22" fillId="4" borderId="40" xfId="0" applyFont="1" applyFill="1" applyBorder="1" applyAlignment="1" applyProtection="1">
      <alignment horizontal="center" vertical="top"/>
      <protection locked="0"/>
    </xf>
    <xf numFmtId="0" fontId="22" fillId="4" borderId="34" xfId="0" applyFont="1" applyFill="1" applyBorder="1" applyAlignment="1" applyProtection="1">
      <alignment horizontal="left" vertical="top"/>
      <protection locked="0"/>
    </xf>
    <xf numFmtId="0" fontId="1" fillId="4" borderId="19" xfId="0" applyFont="1" applyFill="1" applyBorder="1" applyAlignment="1" applyProtection="1">
      <alignment vertical="top"/>
      <protection locked="0"/>
    </xf>
    <xf numFmtId="0" fontId="0" fillId="4" borderId="14" xfId="0" quotePrefix="1" applyFill="1" applyBorder="1" applyAlignment="1" applyProtection="1">
      <alignment horizontal="center" vertical="top"/>
      <protection locked="0"/>
    </xf>
    <xf numFmtId="0" fontId="22" fillId="4" borderId="14" xfId="0" quotePrefix="1" applyFont="1" applyFill="1" applyBorder="1" applyAlignment="1" applyProtection="1">
      <alignment horizontal="center" vertical="top"/>
      <protection locked="0"/>
    </xf>
    <xf numFmtId="0" fontId="22" fillId="4" borderId="19" xfId="0" applyFont="1" applyFill="1" applyBorder="1" applyAlignment="1" applyProtection="1">
      <alignment horizontal="left" vertical="top"/>
      <protection locked="0"/>
    </xf>
    <xf numFmtId="0" fontId="22" fillId="4" borderId="15" xfId="0" quotePrefix="1" applyFont="1" applyFill="1" applyBorder="1" applyAlignment="1" applyProtection="1">
      <alignment horizontal="center" vertical="top"/>
      <protection locked="0"/>
    </xf>
    <xf numFmtId="0" fontId="5" fillId="4" borderId="25" xfId="0" applyFont="1" applyFill="1" applyBorder="1" applyAlignment="1" applyProtection="1">
      <alignment horizontal="center" vertical="top"/>
      <protection locked="0"/>
    </xf>
    <xf numFmtId="0" fontId="5" fillId="4" borderId="14" xfId="0" applyFont="1" applyFill="1" applyBorder="1" applyAlignment="1" applyProtection="1">
      <alignment horizontal="center" vertical="top"/>
      <protection locked="0"/>
    </xf>
    <xf numFmtId="0" fontId="5" fillId="4" borderId="15" xfId="0" applyFont="1" applyFill="1" applyBorder="1" applyAlignment="1" applyProtection="1">
      <alignment horizontal="center" vertical="top"/>
      <protection locked="0"/>
    </xf>
    <xf numFmtId="0" fontId="22" fillId="4" borderId="14" xfId="0" applyFont="1" applyFill="1" applyBorder="1" applyAlignment="1" applyProtection="1">
      <alignment horizontal="center" vertical="top"/>
      <protection locked="0"/>
    </xf>
    <xf numFmtId="0" fontId="5" fillId="4" borderId="19" xfId="0" applyFont="1" applyFill="1" applyBorder="1" applyAlignment="1" applyProtection="1">
      <alignment horizontal="center" vertical="top"/>
      <protection locked="0"/>
    </xf>
    <xf numFmtId="0" fontId="5" fillId="4" borderId="31" xfId="0" applyFont="1" applyFill="1" applyBorder="1" applyAlignment="1" applyProtection="1">
      <alignment horizontal="center" vertical="top"/>
      <protection locked="0"/>
    </xf>
    <xf numFmtId="0" fontId="5" fillId="4" borderId="35" xfId="0" applyFont="1" applyFill="1" applyBorder="1" applyAlignment="1" applyProtection="1">
      <alignment horizontal="center" vertical="top"/>
      <protection locked="0"/>
    </xf>
    <xf numFmtId="0" fontId="5" fillId="4" borderId="7" xfId="0" applyFont="1" applyFill="1" applyBorder="1" applyAlignment="1" applyProtection="1">
      <alignment horizontal="center" vertical="top"/>
      <protection locked="0"/>
    </xf>
    <xf numFmtId="0" fontId="5" fillId="4" borderId="39" xfId="0" applyFont="1" applyFill="1" applyBorder="1" applyAlignment="1" applyProtection="1">
      <alignment horizontal="center" vertical="top"/>
      <protection locked="0"/>
    </xf>
    <xf numFmtId="0" fontId="5" fillId="4" borderId="40" xfId="0" applyFont="1" applyFill="1" applyBorder="1" applyAlignment="1" applyProtection="1">
      <alignment horizontal="center" vertical="top"/>
      <protection locked="0"/>
    </xf>
    <xf numFmtId="0" fontId="1" fillId="4" borderId="34" xfId="0" applyFont="1" applyFill="1" applyBorder="1" applyAlignment="1" applyProtection="1">
      <alignment horizontal="left" vertical="top"/>
      <protection locked="0"/>
    </xf>
    <xf numFmtId="0" fontId="5" fillId="4" borderId="3" xfId="0" applyFont="1" applyFill="1" applyBorder="1" applyAlignment="1" applyProtection="1">
      <alignment horizontal="center" vertical="top"/>
      <protection locked="0"/>
    </xf>
    <xf numFmtId="0" fontId="1" fillId="4" borderId="4" xfId="0" applyFont="1" applyFill="1" applyBorder="1" applyAlignment="1" applyProtection="1">
      <alignment horizontal="left" vertical="top"/>
      <protection locked="0"/>
    </xf>
    <xf numFmtId="0" fontId="5" fillId="4" borderId="5" xfId="0" applyFont="1" applyFill="1" applyBorder="1" applyAlignment="1" applyProtection="1">
      <alignment horizontal="center" vertical="top"/>
      <protection locked="0"/>
    </xf>
    <xf numFmtId="0" fontId="5" fillId="4" borderId="26" xfId="0" applyFont="1" applyFill="1" applyBorder="1" applyAlignment="1" applyProtection="1">
      <alignment horizontal="center" vertical="top"/>
      <protection locked="0"/>
    </xf>
    <xf numFmtId="0" fontId="5" fillId="4" borderId="19" xfId="0" quotePrefix="1" applyFont="1" applyFill="1" applyBorder="1" applyAlignment="1" applyProtection="1">
      <alignment horizontal="center" vertical="top"/>
      <protection locked="0"/>
    </xf>
    <xf numFmtId="0" fontId="0" fillId="2" borderId="0" xfId="0" applyFill="1" applyAlignment="1" applyProtection="1">
      <alignment vertical="center"/>
    </xf>
    <xf numFmtId="0" fontId="0" fillId="4" borderId="14" xfId="1" applyNumberFormat="1" applyFont="1" applyFill="1" applyBorder="1" applyAlignment="1" applyProtection="1">
      <alignment horizontal="center" vertical="top"/>
      <protection locked="0"/>
    </xf>
    <xf numFmtId="165" fontId="0" fillId="4" borderId="36" xfId="1" applyNumberFormat="1" applyFont="1" applyFill="1" applyBorder="1" applyAlignment="1" applyProtection="1">
      <alignment horizontal="left" vertical="top"/>
      <protection locked="0"/>
    </xf>
    <xf numFmtId="165" fontId="0" fillId="3" borderId="36" xfId="1" applyNumberFormat="1" applyFont="1" applyFill="1" applyBorder="1" applyProtection="1"/>
    <xf numFmtId="0" fontId="0" fillId="4" borderId="14" xfId="1" quotePrefix="1" applyNumberFormat="1" applyFont="1" applyFill="1" applyBorder="1" applyAlignment="1" applyProtection="1">
      <alignment horizontal="center" vertical="top"/>
      <protection locked="0"/>
    </xf>
    <xf numFmtId="0" fontId="4" fillId="3" borderId="12" xfId="0" applyFont="1" applyFill="1" applyBorder="1" applyAlignment="1">
      <alignment horizontal="left"/>
    </xf>
    <xf numFmtId="0" fontId="2" fillId="3" borderId="21" xfId="0" applyFont="1" applyFill="1" applyBorder="1" applyAlignment="1">
      <alignment horizontal="left"/>
    </xf>
    <xf numFmtId="0" fontId="2" fillId="3" borderId="21" xfId="0" applyFont="1" applyFill="1" applyBorder="1"/>
    <xf numFmtId="0" fontId="2" fillId="3" borderId="0" xfId="0" applyFont="1" applyFill="1" applyBorder="1"/>
    <xf numFmtId="0" fontId="2" fillId="3" borderId="21" xfId="0" applyFont="1" applyFill="1" applyBorder="1" applyAlignment="1">
      <alignment horizontal="left" vertical="center"/>
    </xf>
    <xf numFmtId="0" fontId="0" fillId="2" borderId="0" xfId="0" applyFill="1" applyAlignment="1">
      <alignment horizontal="center" vertical="center" wrapText="1"/>
    </xf>
    <xf numFmtId="0" fontId="24" fillId="3" borderId="27" xfId="0" applyFont="1" applyFill="1" applyBorder="1" applyAlignment="1">
      <alignment horizontal="left" vertical="center"/>
    </xf>
    <xf numFmtId="0" fontId="4" fillId="3" borderId="9" xfId="0" applyFont="1" applyFill="1" applyBorder="1"/>
    <xf numFmtId="1" fontId="4" fillId="3" borderId="51" xfId="0" applyNumberFormat="1" applyFont="1" applyFill="1" applyBorder="1" applyAlignment="1">
      <alignment horizontal="center" vertical="center" wrapText="1"/>
    </xf>
    <xf numFmtId="0" fontId="0" fillId="0" borderId="21" xfId="0" applyBorder="1" applyAlignment="1"/>
    <xf numFmtId="0" fontId="0" fillId="3" borderId="21" xfId="0" applyFill="1" applyBorder="1" applyAlignment="1"/>
    <xf numFmtId="0" fontId="2" fillId="3" borderId="41" xfId="0" applyFont="1" applyFill="1" applyBorder="1" applyAlignment="1">
      <alignment horizontal="left"/>
    </xf>
    <xf numFmtId="0" fontId="0" fillId="3" borderId="17" xfId="0" applyFill="1" applyBorder="1" applyAlignment="1" applyProtection="1">
      <alignment wrapText="1"/>
    </xf>
    <xf numFmtId="0" fontId="42" fillId="2" borderId="0" xfId="0" applyFont="1" applyFill="1" applyBorder="1" applyAlignment="1" applyProtection="1">
      <alignment horizontal="center" vertical="center"/>
    </xf>
    <xf numFmtId="0" fontId="4" fillId="0" borderId="2" xfId="0" applyFont="1" applyBorder="1" applyAlignment="1" applyProtection="1">
      <alignment vertical="top"/>
    </xf>
    <xf numFmtId="0" fontId="0" fillId="3" borderId="37" xfId="0" applyFill="1" applyBorder="1" applyAlignment="1" applyProtection="1">
      <alignment vertical="top"/>
    </xf>
    <xf numFmtId="0" fontId="44" fillId="2" borderId="0" xfId="0" applyFont="1" applyFill="1" applyProtection="1"/>
    <xf numFmtId="0" fontId="3" fillId="0" borderId="34" xfId="0" applyFont="1" applyBorder="1" applyProtection="1"/>
    <xf numFmtId="0" fontId="3" fillId="2" borderId="0" xfId="0" applyFont="1" applyFill="1" applyBorder="1" applyProtection="1"/>
    <xf numFmtId="0" fontId="44" fillId="2" borderId="0" xfId="0" applyFont="1" applyFill="1" applyBorder="1" applyAlignment="1" applyProtection="1"/>
    <xf numFmtId="0" fontId="44" fillId="2" borderId="0" xfId="0" applyFont="1" applyFill="1" applyAlignment="1" applyProtection="1">
      <alignment wrapText="1"/>
    </xf>
    <xf numFmtId="0" fontId="3" fillId="0" borderId="4" xfId="0" applyFont="1" applyBorder="1" applyAlignment="1" applyProtection="1">
      <alignment horizontal="center" vertical="center" wrapText="1"/>
    </xf>
    <xf numFmtId="0" fontId="44" fillId="2" borderId="0" xfId="0" applyFont="1" applyFill="1" applyBorder="1" applyAlignment="1" applyProtection="1">
      <alignment wrapText="1"/>
    </xf>
    <xf numFmtId="0" fontId="13" fillId="3" borderId="20" xfId="0" applyFont="1" applyFill="1" applyBorder="1" applyAlignment="1">
      <alignment horizontal="center" vertical="center"/>
    </xf>
    <xf numFmtId="1" fontId="4" fillId="3" borderId="22" xfId="0" applyNumberFormat="1" applyFont="1" applyFill="1" applyBorder="1" applyAlignment="1">
      <alignment horizontal="center" vertical="center" wrapText="1"/>
    </xf>
    <xf numFmtId="165" fontId="0" fillId="4" borderId="30" xfId="1" applyNumberFormat="1" applyFont="1" applyFill="1" applyBorder="1" applyAlignment="1" applyProtection="1">
      <alignment vertical="top" wrapText="1"/>
      <protection locked="0"/>
    </xf>
    <xf numFmtId="165" fontId="2" fillId="0" borderId="24" xfId="1" applyNumberFormat="1" applyFont="1" applyFill="1" applyBorder="1" applyAlignment="1" applyProtection="1">
      <alignment vertical="center"/>
    </xf>
    <xf numFmtId="165" fontId="7" fillId="2" borderId="0" xfId="1" applyNumberFormat="1" applyFont="1" applyFill="1" applyBorder="1" applyAlignment="1" applyProtection="1">
      <alignment horizontal="center" vertical="center"/>
    </xf>
    <xf numFmtId="0" fontId="0" fillId="3" borderId="20" xfId="0" applyFill="1" applyBorder="1" applyAlignment="1" applyProtection="1">
      <alignment horizontal="left" vertical="top"/>
    </xf>
    <xf numFmtId="0" fontId="5" fillId="3" borderId="21" xfId="0" applyFont="1" applyFill="1" applyBorder="1" applyAlignment="1" applyProtection="1">
      <alignment horizontal="center"/>
    </xf>
    <xf numFmtId="0" fontId="1" fillId="3" borderId="21" xfId="0" applyFont="1" applyFill="1" applyBorder="1" applyAlignment="1" applyProtection="1">
      <alignment horizontal="left"/>
    </xf>
    <xf numFmtId="0" fontId="0" fillId="3" borderId="21" xfId="0" applyFill="1" applyBorder="1" applyAlignment="1" applyProtection="1">
      <alignment horizontal="left" wrapText="1"/>
    </xf>
    <xf numFmtId="165" fontId="13" fillId="2" borderId="21" xfId="1" applyNumberFormat="1" applyFont="1" applyFill="1" applyBorder="1" applyAlignment="1" applyProtection="1">
      <alignment horizontal="left" vertical="center"/>
    </xf>
    <xf numFmtId="165" fontId="14" fillId="2" borderId="21" xfId="1" applyNumberFormat="1" applyFont="1" applyFill="1" applyBorder="1" applyAlignment="1" applyProtection="1">
      <alignment horizontal="left" vertical="center"/>
    </xf>
    <xf numFmtId="165" fontId="28" fillId="2" borderId="0" xfId="1" applyNumberFormat="1" applyFont="1" applyFill="1" applyBorder="1" applyAlignment="1" applyProtection="1">
      <alignment horizontal="right" vertical="center"/>
    </xf>
    <xf numFmtId="165" fontId="0" fillId="2" borderId="0" xfId="1" applyNumberFormat="1" applyFont="1" applyFill="1" applyAlignment="1" applyProtection="1">
      <alignment vertical="center"/>
    </xf>
    <xf numFmtId="0" fontId="0" fillId="2" borderId="10" xfId="0" applyFill="1" applyBorder="1" applyProtection="1"/>
    <xf numFmtId="0" fontId="5" fillId="2" borderId="0" xfId="0" applyNumberFormat="1" applyFont="1" applyFill="1" applyProtection="1"/>
    <xf numFmtId="166" fontId="46" fillId="3" borderId="10" xfId="0" applyNumberFormat="1" applyFont="1" applyFill="1" applyBorder="1" applyAlignment="1" applyProtection="1">
      <alignment horizontal="center"/>
    </xf>
    <xf numFmtId="166" fontId="4" fillId="3" borderId="23" xfId="0" applyNumberFormat="1" applyFont="1" applyFill="1" applyBorder="1" applyProtection="1"/>
    <xf numFmtId="166" fontId="4" fillId="0" borderId="4" xfId="0" applyNumberFormat="1" applyFont="1" applyFill="1" applyBorder="1" applyAlignment="1" applyProtection="1">
      <alignment horizontal="center" vertical="center" wrapText="1"/>
    </xf>
    <xf numFmtId="166" fontId="4" fillId="0" borderId="13" xfId="0" applyNumberFormat="1" applyFont="1" applyFill="1" applyBorder="1" applyAlignment="1" applyProtection="1">
      <alignment horizontal="center" vertical="center" wrapText="1"/>
    </xf>
    <xf numFmtId="166" fontId="4" fillId="0" borderId="2" xfId="0" applyNumberFormat="1" applyFont="1" applyFill="1" applyBorder="1" applyAlignment="1" applyProtection="1">
      <alignment horizontal="center" vertical="center" wrapText="1"/>
    </xf>
    <xf numFmtId="0" fontId="45" fillId="2" borderId="0" xfId="0" applyFont="1" applyFill="1" applyBorder="1" applyAlignment="1" applyProtection="1">
      <alignment horizontal="center" vertical="top"/>
    </xf>
    <xf numFmtId="3" fontId="0" fillId="3" borderId="23" xfId="0" applyNumberFormat="1" applyFill="1" applyBorder="1"/>
    <xf numFmtId="3" fontId="0" fillId="4" borderId="19" xfId="1" applyNumberFormat="1" applyFont="1" applyFill="1" applyBorder="1" applyProtection="1">
      <protection locked="0"/>
    </xf>
    <xf numFmtId="3" fontId="0" fillId="0" borderId="68" xfId="1" applyNumberFormat="1" applyFont="1" applyBorder="1" applyProtection="1"/>
    <xf numFmtId="3" fontId="0" fillId="0" borderId="69" xfId="1" applyNumberFormat="1" applyFont="1" applyBorder="1" applyProtection="1"/>
    <xf numFmtId="3" fontId="4" fillId="0" borderId="51" xfId="1" applyNumberFormat="1" applyFont="1" applyFill="1" applyBorder="1" applyProtection="1"/>
    <xf numFmtId="3" fontId="0" fillId="3" borderId="6" xfId="1" applyNumberFormat="1" applyFont="1" applyFill="1" applyBorder="1" applyProtection="1"/>
    <xf numFmtId="3" fontId="0" fillId="3" borderId="70" xfId="1" applyNumberFormat="1" applyFont="1" applyFill="1" applyBorder="1" applyProtection="1"/>
    <xf numFmtId="3" fontId="0" fillId="0" borderId="26" xfId="1" applyNumberFormat="1" applyFont="1" applyFill="1" applyBorder="1" applyProtection="1"/>
    <xf numFmtId="3" fontId="0" fillId="0" borderId="27" xfId="1" applyNumberFormat="1" applyFont="1" applyFill="1" applyBorder="1" applyProtection="1"/>
    <xf numFmtId="3" fontId="1" fillId="4" borderId="19" xfId="1" applyNumberFormat="1" applyFont="1" applyFill="1" applyBorder="1" applyAlignment="1" applyProtection="1">
      <alignment horizontal="right"/>
      <protection locked="0"/>
    </xf>
    <xf numFmtId="3" fontId="1" fillId="4" borderId="31" xfId="1" applyNumberFormat="1" applyFont="1" applyFill="1" applyBorder="1" applyAlignment="1" applyProtection="1">
      <alignment horizontal="right"/>
      <protection locked="0"/>
    </xf>
    <xf numFmtId="3" fontId="0" fillId="2" borderId="0" xfId="1" applyNumberFormat="1" applyFont="1" applyFill="1" applyBorder="1" applyProtection="1"/>
    <xf numFmtId="3" fontId="2" fillId="0" borderId="4" xfId="1" applyNumberFormat="1" applyFont="1" applyBorder="1" applyAlignment="1" applyProtection="1">
      <alignment horizontal="center" vertical="center"/>
    </xf>
    <xf numFmtId="3" fontId="2" fillId="0" borderId="13" xfId="1" applyNumberFormat="1" applyFont="1" applyBorder="1" applyAlignment="1" applyProtection="1">
      <alignment horizontal="center" vertical="center"/>
    </xf>
    <xf numFmtId="3" fontId="0" fillId="0" borderId="26" xfId="1" applyNumberFormat="1" applyFont="1" applyBorder="1" applyProtection="1"/>
    <xf numFmtId="3" fontId="0" fillId="0" borderId="27" xfId="1" applyNumberFormat="1" applyFont="1" applyBorder="1" applyProtection="1"/>
    <xf numFmtId="3" fontId="0" fillId="4" borderId="19" xfId="1" applyNumberFormat="1" applyFont="1" applyFill="1" applyBorder="1" applyAlignment="1" applyProtection="1">
      <protection locked="0"/>
    </xf>
    <xf numFmtId="3" fontId="4" fillId="0" borderId="68" xfId="1" applyNumberFormat="1" applyFont="1" applyBorder="1" applyProtection="1"/>
    <xf numFmtId="3" fontId="0" fillId="3" borderId="0" xfId="1" applyNumberFormat="1" applyFont="1" applyFill="1" applyBorder="1" applyProtection="1"/>
    <xf numFmtId="3" fontId="0" fillId="3" borderId="23" xfId="1" applyNumberFormat="1" applyFont="1" applyFill="1" applyBorder="1" applyProtection="1"/>
    <xf numFmtId="3" fontId="4" fillId="3" borderId="65" xfId="1" applyNumberFormat="1" applyFont="1" applyFill="1" applyBorder="1" applyAlignment="1" applyProtection="1"/>
    <xf numFmtId="3" fontId="44" fillId="2" borderId="0" xfId="0" applyNumberFormat="1" applyFont="1" applyFill="1" applyProtection="1"/>
    <xf numFmtId="3" fontId="0" fillId="2" borderId="0" xfId="0" applyNumberFormat="1" applyFill="1" applyProtection="1"/>
    <xf numFmtId="3" fontId="20" fillId="0" borderId="4" xfId="0" applyNumberFormat="1" applyFont="1" applyBorder="1" applyAlignment="1" applyProtection="1">
      <alignment horizontal="center" vertical="center" wrapText="1"/>
    </xf>
    <xf numFmtId="3" fontId="2" fillId="0" borderId="13" xfId="0" applyNumberFormat="1" applyFont="1" applyBorder="1" applyAlignment="1" applyProtection="1">
      <alignment horizontal="center" vertical="center" wrapText="1"/>
    </xf>
    <xf numFmtId="3" fontId="44" fillId="4" borderId="26" xfId="0" applyNumberFormat="1" applyFont="1" applyFill="1" applyBorder="1" applyProtection="1">
      <protection locked="0"/>
    </xf>
    <xf numFmtId="3" fontId="4" fillId="0" borderId="27" xfId="0" applyNumberFormat="1" applyFont="1" applyBorder="1" applyProtection="1"/>
    <xf numFmtId="3" fontId="44" fillId="4" borderId="29" xfId="0" applyNumberFormat="1" applyFont="1" applyFill="1" applyBorder="1" applyProtection="1">
      <protection locked="0"/>
    </xf>
    <xf numFmtId="3" fontId="4" fillId="0" borderId="71" xfId="0" applyNumberFormat="1" applyFont="1" applyBorder="1" applyProtection="1"/>
    <xf numFmtId="3" fontId="44" fillId="4" borderId="19" xfId="0" applyNumberFormat="1" applyFont="1" applyFill="1" applyBorder="1" applyProtection="1">
      <protection locked="0"/>
    </xf>
    <xf numFmtId="3" fontId="4" fillId="0" borderId="68" xfId="0" applyNumberFormat="1" applyFont="1" applyBorder="1" applyProtection="1"/>
    <xf numFmtId="3" fontId="44" fillId="4" borderId="30" xfId="0" applyNumberFormat="1" applyFont="1" applyFill="1" applyBorder="1" applyProtection="1">
      <protection locked="0"/>
    </xf>
    <xf numFmtId="3" fontId="4" fillId="0" borderId="69" xfId="0" applyNumberFormat="1" applyFont="1" applyBorder="1" applyProtection="1"/>
    <xf numFmtId="3" fontId="44" fillId="3" borderId="4" xfId="0" applyNumberFormat="1" applyFont="1" applyFill="1" applyBorder="1" applyProtection="1"/>
    <xf numFmtId="3" fontId="4" fillId="3" borderId="13" xfId="0" applyNumberFormat="1" applyFont="1" applyFill="1" applyBorder="1" applyProtection="1"/>
    <xf numFmtId="3" fontId="44" fillId="4" borderId="31" xfId="0" applyNumberFormat="1" applyFont="1" applyFill="1" applyBorder="1" applyProtection="1">
      <protection locked="0"/>
    </xf>
    <xf numFmtId="3" fontId="4" fillId="0" borderId="51" xfId="0" applyNumberFormat="1" applyFont="1" applyBorder="1" applyProtection="1"/>
    <xf numFmtId="3" fontId="4" fillId="0" borderId="70" xfId="0" applyNumberFormat="1" applyFont="1" applyFill="1" applyBorder="1" applyProtection="1"/>
    <xf numFmtId="3" fontId="44" fillId="3" borderId="32" xfId="0" applyNumberFormat="1" applyFont="1" applyFill="1" applyBorder="1" applyProtection="1"/>
    <xf numFmtId="3" fontId="4" fillId="3" borderId="18" xfId="0" applyNumberFormat="1" applyFont="1" applyFill="1" applyBorder="1" applyProtection="1"/>
    <xf numFmtId="3" fontId="44" fillId="4" borderId="33" xfId="0" applyNumberFormat="1" applyFont="1" applyFill="1" applyBorder="1" applyProtection="1">
      <protection locked="0"/>
    </xf>
    <xf numFmtId="3" fontId="4" fillId="0" borderId="72" xfId="0" applyNumberFormat="1" applyFont="1" applyFill="1" applyBorder="1" applyProtection="1"/>
    <xf numFmtId="3" fontId="4" fillId="0" borderId="68" xfId="0" applyNumberFormat="1" applyFont="1" applyFill="1" applyBorder="1" applyProtection="1"/>
    <xf numFmtId="3" fontId="44" fillId="4" borderId="6" xfId="0" applyNumberFormat="1" applyFont="1" applyFill="1" applyBorder="1" applyProtection="1">
      <protection locked="0"/>
    </xf>
    <xf numFmtId="3" fontId="44" fillId="4" borderId="34" xfId="0" applyNumberFormat="1" applyFont="1" applyFill="1" applyBorder="1" applyProtection="1">
      <protection locked="0"/>
    </xf>
    <xf numFmtId="3" fontId="4" fillId="0" borderId="73" xfId="0" applyNumberFormat="1" applyFont="1" applyFill="1" applyBorder="1" applyProtection="1"/>
    <xf numFmtId="3" fontId="44" fillId="0" borderId="4" xfId="0" applyNumberFormat="1" applyFont="1" applyFill="1" applyBorder="1" applyProtection="1"/>
    <xf numFmtId="3" fontId="4" fillId="0" borderId="13" xfId="0" applyNumberFormat="1" applyFont="1" applyFill="1" applyBorder="1" applyProtection="1"/>
    <xf numFmtId="3" fontId="4" fillId="0" borderId="27" xfId="0" applyNumberFormat="1" applyFont="1" applyFill="1" applyBorder="1" applyProtection="1"/>
    <xf numFmtId="3" fontId="4" fillId="0" borderId="13" xfId="0" applyNumberFormat="1" applyFont="1" applyBorder="1" applyProtection="1"/>
    <xf numFmtId="3" fontId="4" fillId="0" borderId="22" xfId="0" applyNumberFormat="1" applyFont="1" applyFill="1" applyBorder="1" applyProtection="1"/>
    <xf numFmtId="3" fontId="4" fillId="0" borderId="63" xfId="0" applyNumberFormat="1" applyFont="1" applyFill="1" applyBorder="1" applyProtection="1"/>
    <xf numFmtId="3" fontId="4" fillId="0" borderId="63" xfId="0" applyNumberFormat="1" applyFont="1" applyBorder="1" applyProtection="1"/>
    <xf numFmtId="3" fontId="4" fillId="0" borderId="9" xfId="0" applyNumberFormat="1" applyFont="1" applyBorder="1" applyProtection="1"/>
    <xf numFmtId="3" fontId="4" fillId="0" borderId="9" xfId="0" applyNumberFormat="1" applyFont="1" applyFill="1" applyBorder="1" applyProtection="1"/>
    <xf numFmtId="3" fontId="44" fillId="4" borderId="4" xfId="0" applyNumberFormat="1" applyFont="1" applyFill="1" applyBorder="1" applyProtection="1">
      <protection locked="0"/>
    </xf>
    <xf numFmtId="3" fontId="4" fillId="0" borderId="51" xfId="0" applyNumberFormat="1" applyFont="1" applyFill="1" applyBorder="1" applyProtection="1"/>
    <xf numFmtId="3" fontId="44" fillId="0" borderId="33" xfId="0" applyNumberFormat="1" applyFont="1" applyFill="1" applyBorder="1" applyProtection="1"/>
    <xf numFmtId="3" fontId="4" fillId="0" borderId="22" xfId="0" applyNumberFormat="1" applyFont="1" applyBorder="1" applyProtection="1"/>
    <xf numFmtId="3" fontId="3" fillId="0" borderId="74" xfId="0" applyNumberFormat="1" applyFont="1" applyBorder="1" applyProtection="1"/>
    <xf numFmtId="3" fontId="4" fillId="0" borderId="65" xfId="0" applyNumberFormat="1" applyFont="1" applyBorder="1" applyProtection="1"/>
    <xf numFmtId="3" fontId="0" fillId="4" borderId="71" xfId="0" applyNumberFormat="1" applyFill="1" applyBorder="1" applyAlignment="1" applyProtection="1">
      <alignment vertical="center"/>
      <protection locked="0"/>
    </xf>
    <xf numFmtId="3" fontId="0" fillId="4" borderId="68" xfId="0" applyNumberFormat="1" applyFill="1" applyBorder="1" applyAlignment="1" applyProtection="1">
      <alignment vertical="center" wrapText="1"/>
      <protection locked="0"/>
    </xf>
    <xf numFmtId="3" fontId="0" fillId="4" borderId="51" xfId="0" applyNumberFormat="1" applyFill="1" applyBorder="1" applyAlignment="1" applyProtection="1">
      <alignment vertical="center" wrapText="1"/>
      <protection locked="0"/>
    </xf>
    <xf numFmtId="3" fontId="4" fillId="0" borderId="75" xfId="0" applyNumberFormat="1" applyFont="1" applyFill="1" applyBorder="1" applyAlignment="1" applyProtection="1">
      <alignment vertical="center" wrapText="1"/>
    </xf>
    <xf numFmtId="3" fontId="4" fillId="2" borderId="0" xfId="0" applyNumberFormat="1" applyFont="1" applyFill="1" applyAlignment="1" applyProtection="1">
      <alignment wrapText="1"/>
    </xf>
    <xf numFmtId="3" fontId="4" fillId="0" borderId="13" xfId="0" applyNumberFormat="1" applyFont="1" applyBorder="1" applyAlignment="1" applyProtection="1">
      <alignment horizontal="center" vertical="center"/>
    </xf>
    <xf numFmtId="3" fontId="0" fillId="4" borderId="71" xfId="0" applyNumberFormat="1" applyFill="1" applyBorder="1" applyAlignment="1" applyProtection="1">
      <alignment vertical="center" wrapText="1"/>
      <protection locked="0"/>
    </xf>
    <xf numFmtId="4" fontId="0" fillId="4" borderId="19" xfId="0" applyNumberFormat="1" applyFill="1" applyBorder="1" applyProtection="1">
      <protection locked="0"/>
    </xf>
    <xf numFmtId="166" fontId="0" fillId="4" borderId="19" xfId="0" applyNumberFormat="1" applyFill="1" applyBorder="1" applyAlignment="1" applyProtection="1">
      <alignment horizontal="center" vertical="center"/>
      <protection locked="0"/>
    </xf>
    <xf numFmtId="3" fontId="0" fillId="0" borderId="19" xfId="0" applyNumberFormat="1" applyFill="1" applyBorder="1" applyAlignment="1" applyProtection="1">
      <alignment vertical="center"/>
    </xf>
    <xf numFmtId="166" fontId="0" fillId="2" borderId="0" xfId="0" applyNumberFormat="1" applyFill="1" applyBorder="1" applyAlignment="1" applyProtection="1">
      <alignment horizontal="center" vertical="center"/>
      <protection locked="0"/>
    </xf>
    <xf numFmtId="4" fontId="0" fillId="2" borderId="0" xfId="0" applyNumberFormat="1" applyFill="1" applyBorder="1" applyAlignment="1" applyProtection="1">
      <alignment vertical="center"/>
      <protection locked="0"/>
    </xf>
    <xf numFmtId="3" fontId="0" fillId="2" borderId="0" xfId="0" applyNumberFormat="1" applyFill="1" applyBorder="1" applyAlignment="1" applyProtection="1">
      <alignment vertical="center"/>
    </xf>
    <xf numFmtId="4" fontId="0" fillId="2" borderId="0" xfId="0" applyNumberFormat="1" applyFill="1" applyAlignment="1" applyProtection="1">
      <alignment vertical="center"/>
    </xf>
    <xf numFmtId="3" fontId="0" fillId="2" borderId="0" xfId="0" applyNumberFormat="1" applyFill="1" applyAlignment="1" applyProtection="1">
      <alignment vertical="center"/>
    </xf>
    <xf numFmtId="166" fontId="16" fillId="3" borderId="10" xfId="0" applyNumberFormat="1" applyFont="1" applyFill="1" applyBorder="1" applyAlignment="1" applyProtection="1">
      <alignment vertical="center" wrapText="1"/>
    </xf>
    <xf numFmtId="166" fontId="16" fillId="3" borderId="23" xfId="0" applyNumberFormat="1" applyFont="1" applyFill="1" applyBorder="1" applyAlignment="1" applyProtection="1">
      <alignment vertical="center" wrapText="1"/>
    </xf>
    <xf numFmtId="166" fontId="0" fillId="0" borderId="19" xfId="0" applyNumberFormat="1" applyFill="1" applyBorder="1" applyAlignment="1" applyProtection="1">
      <alignment horizontal="center" vertical="center"/>
    </xf>
    <xf numFmtId="3" fontId="0" fillId="4" borderId="30" xfId="1" applyNumberFormat="1" applyFont="1" applyFill="1" applyBorder="1" applyAlignment="1" applyProtection="1">
      <protection locked="0"/>
    </xf>
    <xf numFmtId="3" fontId="0" fillId="4" borderId="31" xfId="1" applyNumberFormat="1" applyFont="1" applyFill="1" applyBorder="1" applyAlignment="1" applyProtection="1">
      <protection locked="0"/>
    </xf>
    <xf numFmtId="4" fontId="0" fillId="4" borderId="19" xfId="0" applyNumberFormat="1" applyFill="1" applyBorder="1" applyAlignment="1" applyProtection="1">
      <protection locked="0"/>
    </xf>
    <xf numFmtId="3" fontId="0" fillId="0" borderId="19" xfId="0" applyNumberFormat="1" applyFill="1" applyBorder="1" applyAlignment="1" applyProtection="1"/>
    <xf numFmtId="4" fontId="0" fillId="2" borderId="0" xfId="0" applyNumberFormat="1" applyFill="1" applyBorder="1" applyAlignment="1" applyProtection="1"/>
    <xf numFmtId="3" fontId="0" fillId="2" borderId="0" xfId="0" applyNumberFormat="1" applyFill="1" applyAlignment="1" applyProtection="1"/>
    <xf numFmtId="4" fontId="0" fillId="2" borderId="0" xfId="0" applyNumberFormat="1" applyFill="1" applyAlignment="1" applyProtection="1"/>
    <xf numFmtId="168" fontId="0" fillId="4" borderId="19" xfId="0" applyNumberFormat="1" applyFill="1" applyBorder="1" applyAlignment="1" applyProtection="1">
      <protection locked="0"/>
    </xf>
    <xf numFmtId="0" fontId="48" fillId="4" borderId="31" xfId="0" applyFont="1" applyFill="1" applyBorder="1" applyAlignment="1" applyProtection="1">
      <alignment vertical="top" wrapText="1"/>
      <protection locked="0"/>
    </xf>
    <xf numFmtId="3" fontId="48" fillId="4" borderId="31" xfId="0" applyNumberFormat="1" applyFont="1" applyFill="1" applyBorder="1" applyProtection="1">
      <protection locked="0"/>
    </xf>
    <xf numFmtId="0" fontId="48" fillId="4" borderId="31" xfId="0" applyFont="1" applyFill="1" applyBorder="1" applyAlignment="1" applyProtection="1">
      <alignment horizontal="left" vertical="top" wrapText="1"/>
      <protection locked="0"/>
    </xf>
    <xf numFmtId="0" fontId="48" fillId="4" borderId="34" xfId="0" applyFont="1" applyFill="1" applyBorder="1" applyAlignment="1" applyProtection="1">
      <alignment horizontal="left" vertical="top" wrapText="1"/>
      <protection locked="0"/>
    </xf>
    <xf numFmtId="3" fontId="48" fillId="4" borderId="34" xfId="0" applyNumberFormat="1" applyFont="1" applyFill="1" applyBorder="1" applyProtection="1">
      <protection locked="0"/>
    </xf>
    <xf numFmtId="0" fontId="48" fillId="4" borderId="19" xfId="0" applyFont="1" applyFill="1" applyBorder="1" applyAlignment="1" applyProtection="1">
      <alignment vertical="top" wrapText="1"/>
      <protection locked="0"/>
    </xf>
    <xf numFmtId="3" fontId="48" fillId="4" borderId="19" xfId="0" applyNumberFormat="1" applyFont="1" applyFill="1" applyBorder="1" applyProtection="1">
      <protection locked="0"/>
    </xf>
    <xf numFmtId="0" fontId="48" fillId="4" borderId="19" xfId="0" applyFont="1" applyFill="1" applyBorder="1" applyAlignment="1" applyProtection="1">
      <alignment horizontal="left" vertical="top" wrapText="1"/>
      <protection locked="0"/>
    </xf>
    <xf numFmtId="3" fontId="0" fillId="4" borderId="19" xfId="0" applyNumberFormat="1" applyFill="1" applyBorder="1" applyAlignment="1" applyProtection="1">
      <alignment vertical="center"/>
      <protection locked="0"/>
    </xf>
    <xf numFmtId="3" fontId="4" fillId="0" borderId="16" xfId="0" applyNumberFormat="1" applyFont="1" applyFill="1" applyBorder="1" applyAlignment="1" applyProtection="1">
      <alignment vertical="center"/>
    </xf>
    <xf numFmtId="3" fontId="0" fillId="3" borderId="16" xfId="0" applyNumberFormat="1" applyFill="1" applyBorder="1" applyAlignment="1" applyProtection="1">
      <alignment vertical="center"/>
    </xf>
    <xf numFmtId="3" fontId="4" fillId="3" borderId="16" xfId="0" applyNumberFormat="1" applyFont="1" applyFill="1" applyBorder="1" applyAlignment="1" applyProtection="1">
      <alignment vertical="center"/>
    </xf>
    <xf numFmtId="168" fontId="0" fillId="4" borderId="31" xfId="0" applyNumberFormat="1" applyFill="1" applyBorder="1" applyProtection="1">
      <protection locked="0"/>
    </xf>
    <xf numFmtId="168" fontId="0" fillId="4" borderId="4" xfId="0" applyNumberFormat="1" applyFill="1" applyBorder="1" applyProtection="1">
      <protection locked="0"/>
    </xf>
    <xf numFmtId="168" fontId="4" fillId="2" borderId="0" xfId="0" applyNumberFormat="1" applyFont="1" applyFill="1" applyAlignment="1" applyProtection="1">
      <alignment horizontal="right" indent="3"/>
    </xf>
    <xf numFmtId="165" fontId="4" fillId="2" borderId="0" xfId="1" applyNumberFormat="1" applyFont="1" applyFill="1" applyAlignment="1" applyProtection="1">
      <alignment horizontal="center" vertical="center" wrapText="1"/>
    </xf>
    <xf numFmtId="168" fontId="0" fillId="0" borderId="19" xfId="0" applyNumberFormat="1" applyFill="1" applyBorder="1" applyAlignment="1" applyProtection="1"/>
    <xf numFmtId="0" fontId="5" fillId="4" borderId="30" xfId="0" applyFont="1" applyFill="1" applyBorder="1" applyAlignment="1" applyProtection="1">
      <alignment horizontal="left" vertical="top"/>
      <protection locked="0"/>
    </xf>
    <xf numFmtId="0" fontId="5" fillId="4" borderId="19" xfId="0" applyFont="1" applyFill="1" applyBorder="1" applyAlignment="1" applyProtection="1">
      <alignment horizontal="left" vertical="top" wrapText="1"/>
      <protection locked="0"/>
    </xf>
    <xf numFmtId="3" fontId="5" fillId="4" borderId="19" xfId="0" applyNumberFormat="1" applyFont="1" applyFill="1" applyBorder="1" applyProtection="1">
      <protection locked="0"/>
    </xf>
    <xf numFmtId="0" fontId="47" fillId="2" borderId="0" xfId="0" applyFont="1" applyFill="1" applyAlignment="1" applyProtection="1">
      <alignment horizontal="center" vertical="center" wrapText="1"/>
    </xf>
    <xf numFmtId="0" fontId="6" fillId="2" borderId="0" xfId="0" applyFont="1" applyFill="1" applyBorder="1" applyAlignment="1" applyProtection="1">
      <alignment horizontal="right" vertical="center"/>
      <protection hidden="1"/>
    </xf>
    <xf numFmtId="0" fontId="47" fillId="2" borderId="0" xfId="0" applyFont="1" applyFill="1" applyAlignment="1" applyProtection="1">
      <alignment vertical="center" wrapText="1"/>
    </xf>
    <xf numFmtId="0" fontId="0" fillId="2" borderId="76" xfId="0" applyFill="1" applyBorder="1" applyProtection="1"/>
    <xf numFmtId="0" fontId="0" fillId="4" borderId="19" xfId="0" applyFill="1" applyBorder="1" applyProtection="1">
      <protection locked="0"/>
    </xf>
    <xf numFmtId="0" fontId="0" fillId="3" borderId="19" xfId="0" applyFill="1" applyBorder="1" applyProtection="1"/>
    <xf numFmtId="0" fontId="0" fillId="2" borderId="77" xfId="0" applyFill="1" applyBorder="1" applyProtection="1"/>
    <xf numFmtId="3" fontId="0" fillId="2" borderId="0" xfId="0" applyNumberFormat="1" applyFill="1" applyBorder="1" applyAlignment="1" applyProtection="1">
      <alignment vertical="center"/>
      <protection locked="0"/>
    </xf>
    <xf numFmtId="3" fontId="4" fillId="2" borderId="0" xfId="0" applyNumberFormat="1" applyFont="1" applyFill="1" applyBorder="1" applyAlignment="1" applyProtection="1">
      <alignment vertical="center"/>
    </xf>
    <xf numFmtId="0" fontId="7" fillId="2" borderId="0" xfId="0" applyFont="1" applyFill="1" applyAlignment="1" applyProtection="1">
      <alignment horizontal="center" vertical="center"/>
    </xf>
    <xf numFmtId="0" fontId="0" fillId="2" borderId="0" xfId="0" applyFill="1" applyBorder="1" applyAlignment="1" applyProtection="1">
      <protection locked="0"/>
    </xf>
    <xf numFmtId="0" fontId="4" fillId="2" borderId="0" xfId="0" applyFont="1" applyFill="1" applyBorder="1" applyAlignment="1" applyProtection="1">
      <alignment vertical="center"/>
    </xf>
    <xf numFmtId="0" fontId="0" fillId="2" borderId="78" xfId="0" applyFill="1" applyBorder="1" applyProtection="1"/>
    <xf numFmtId="0" fontId="0" fillId="2" borderId="39" xfId="0" applyFill="1" applyBorder="1" applyProtection="1"/>
    <xf numFmtId="0" fontId="0" fillId="2" borderId="79" xfId="0" applyFill="1" applyBorder="1" applyProtection="1"/>
    <xf numFmtId="0" fontId="0" fillId="2" borderId="5" xfId="0" applyFill="1" applyBorder="1" applyProtection="1">
      <protection locked="0"/>
    </xf>
    <xf numFmtId="0" fontId="0" fillId="2" borderId="5" xfId="0" applyFill="1" applyBorder="1" applyProtection="1"/>
    <xf numFmtId="0" fontId="0" fillId="2" borderId="80" xfId="0" applyFill="1" applyBorder="1" applyProtection="1"/>
    <xf numFmtId="0" fontId="0" fillId="2" borderId="7" xfId="0" applyFill="1" applyBorder="1" applyProtection="1"/>
    <xf numFmtId="0" fontId="44" fillId="4" borderId="29" xfId="0" applyNumberFormat="1" applyFont="1" applyFill="1" applyBorder="1" applyAlignment="1" applyProtection="1">
      <alignment horizontal="center" vertical="center" wrapText="1"/>
      <protection locked="0"/>
    </xf>
    <xf numFmtId="0" fontId="44" fillId="4" borderId="19" xfId="0" applyNumberFormat="1" applyFont="1" applyFill="1" applyBorder="1" applyAlignment="1" applyProtection="1">
      <alignment horizontal="center" vertical="center" wrapText="1"/>
      <protection locked="0"/>
    </xf>
    <xf numFmtId="0" fontId="44" fillId="4" borderId="31" xfId="0" applyNumberFormat="1" applyFont="1" applyFill="1" applyBorder="1" applyAlignment="1" applyProtection="1">
      <alignment horizontal="center" vertical="center" wrapText="1"/>
      <protection locked="0"/>
    </xf>
    <xf numFmtId="0" fontId="4" fillId="0" borderId="19" xfId="0" applyFont="1" applyBorder="1"/>
    <xf numFmtId="0" fontId="0" fillId="0" borderId="19" xfId="0" applyBorder="1"/>
    <xf numFmtId="3" fontId="0" fillId="0" borderId="81" xfId="0" applyNumberFormat="1" applyBorder="1"/>
    <xf numFmtId="3" fontId="0" fillId="0" borderId="19" xfId="0" applyNumberFormat="1" applyBorder="1"/>
    <xf numFmtId="0" fontId="0" fillId="0" borderId="30" xfId="0" applyBorder="1"/>
    <xf numFmtId="0" fontId="0" fillId="2" borderId="0" xfId="0" applyFill="1" applyProtection="1">
      <protection hidden="1"/>
    </xf>
    <xf numFmtId="0" fontId="0" fillId="2" borderId="0" xfId="0" applyFill="1" applyAlignment="1" applyProtection="1">
      <alignment horizontal="center"/>
      <protection hidden="1"/>
    </xf>
    <xf numFmtId="0" fontId="0" fillId="2" borderId="0" xfId="0" applyFill="1" applyAlignment="1" applyProtection="1">
      <alignment horizontal="center" vertical="center"/>
      <protection hidden="1"/>
    </xf>
    <xf numFmtId="0" fontId="0" fillId="0" borderId="19" xfId="0" applyFill="1" applyBorder="1" applyAlignment="1" applyProtection="1">
      <alignment horizontal="center" vertical="center"/>
      <protection hidden="1"/>
    </xf>
    <xf numFmtId="0" fontId="5" fillId="2" borderId="0" xfId="0" applyFont="1" applyFill="1" applyBorder="1" applyAlignment="1" applyProtection="1">
      <protection hidden="1"/>
    </xf>
    <xf numFmtId="0" fontId="5" fillId="2" borderId="0" xfId="0" applyFont="1" applyFill="1" applyBorder="1" applyProtection="1">
      <protection hidden="1"/>
    </xf>
    <xf numFmtId="0" fontId="50" fillId="2" borderId="0" xfId="2" applyFont="1" applyFill="1" applyAlignment="1" applyProtection="1">
      <alignment horizontal="center"/>
      <protection hidden="1"/>
    </xf>
    <xf numFmtId="0" fontId="13" fillId="2" borderId="0" xfId="0" applyFont="1" applyFill="1" applyBorder="1" applyAlignment="1" applyProtection="1">
      <alignment horizontal="center" vertical="center"/>
      <protection hidden="1"/>
    </xf>
    <xf numFmtId="1" fontId="4" fillId="2" borderId="0" xfId="0" applyNumberFormat="1" applyFont="1" applyFill="1" applyBorder="1" applyAlignment="1" applyProtection="1">
      <alignment horizontal="center" vertical="center" wrapText="1"/>
      <protection hidden="1"/>
    </xf>
    <xf numFmtId="0" fontId="4" fillId="2" borderId="0" xfId="0" applyFont="1" applyFill="1" applyBorder="1" applyAlignment="1" applyProtection="1">
      <alignment horizontal="left"/>
      <protection hidden="1"/>
    </xf>
    <xf numFmtId="0" fontId="4" fillId="2" borderId="0" xfId="0" applyFont="1" applyFill="1" applyBorder="1" applyProtection="1">
      <protection hidden="1"/>
    </xf>
    <xf numFmtId="0" fontId="5" fillId="2" borderId="0" xfId="0" applyFont="1" applyFill="1" applyBorder="1" applyAlignment="1" applyProtection="1">
      <alignment horizontal="left"/>
      <protection hidden="1"/>
    </xf>
    <xf numFmtId="0" fontId="5" fillId="0" borderId="81" xfId="0" applyFont="1" applyFill="1" applyBorder="1" applyAlignment="1" applyProtection="1">
      <protection hidden="1"/>
    </xf>
    <xf numFmtId="3" fontId="0" fillId="0" borderId="29" xfId="0" applyNumberFormat="1" applyBorder="1"/>
    <xf numFmtId="0" fontId="4" fillId="0" borderId="31" xfId="0" applyFont="1" applyFill="1" applyBorder="1" applyAlignment="1" applyProtection="1">
      <alignment horizontal="center"/>
      <protection hidden="1"/>
    </xf>
    <xf numFmtId="0" fontId="4" fillId="0" borderId="51" xfId="0" applyFont="1" applyFill="1" applyBorder="1" applyAlignment="1" applyProtection="1">
      <alignment horizontal="center"/>
      <protection hidden="1"/>
    </xf>
    <xf numFmtId="1" fontId="4" fillId="0" borderId="82" xfId="0" applyNumberFormat="1" applyFont="1" applyFill="1" applyBorder="1" applyAlignment="1" applyProtection="1">
      <alignment horizontal="center" vertical="center"/>
      <protection hidden="1"/>
    </xf>
    <xf numFmtId="0" fontId="16" fillId="2" borderId="0" xfId="0" applyFont="1" applyFill="1" applyBorder="1" applyAlignment="1" applyProtection="1">
      <alignment vertical="center"/>
      <protection hidden="1"/>
    </xf>
    <xf numFmtId="10" fontId="5" fillId="0" borderId="71" xfId="0" applyNumberFormat="1" applyFont="1" applyFill="1" applyBorder="1" applyProtection="1">
      <protection hidden="1"/>
    </xf>
    <xf numFmtId="0" fontId="5" fillId="0" borderId="36" xfId="0" applyFont="1" applyFill="1" applyBorder="1" applyProtection="1">
      <protection hidden="1"/>
    </xf>
    <xf numFmtId="3" fontId="5" fillId="0" borderId="28" xfId="0" applyNumberFormat="1" applyFont="1" applyFill="1" applyBorder="1" applyProtection="1">
      <protection hidden="1"/>
    </xf>
    <xf numFmtId="3" fontId="5" fillId="0" borderId="36" xfId="0" applyNumberFormat="1" applyFont="1" applyFill="1" applyBorder="1" applyProtection="1">
      <protection hidden="1"/>
    </xf>
    <xf numFmtId="3" fontId="5" fillId="0" borderId="82" xfId="0" applyNumberFormat="1" applyFont="1" applyFill="1" applyBorder="1" applyProtection="1">
      <protection hidden="1"/>
    </xf>
    <xf numFmtId="0" fontId="5" fillId="0" borderId="24" xfId="0" applyFont="1" applyFill="1" applyBorder="1" applyAlignment="1" applyProtection="1">
      <alignment horizontal="left"/>
      <protection hidden="1"/>
    </xf>
    <xf numFmtId="0" fontId="5" fillId="0" borderId="36" xfId="0" applyFont="1" applyFill="1" applyBorder="1" applyAlignment="1" applyProtection="1">
      <alignment horizontal="left"/>
      <protection hidden="1"/>
    </xf>
    <xf numFmtId="0" fontId="4" fillId="0" borderId="36" xfId="0" applyFont="1" applyFill="1" applyBorder="1" applyProtection="1">
      <protection hidden="1"/>
    </xf>
    <xf numFmtId="0" fontId="4" fillId="0" borderId="82" xfId="0" applyFont="1" applyFill="1" applyBorder="1" applyProtection="1">
      <protection hidden="1"/>
    </xf>
    <xf numFmtId="0" fontId="4" fillId="0" borderId="31" xfId="0" applyFont="1" applyFill="1" applyBorder="1" applyProtection="1">
      <protection hidden="1"/>
    </xf>
    <xf numFmtId="3" fontId="5" fillId="0" borderId="24" xfId="0" applyNumberFormat="1" applyFont="1" applyFill="1" applyBorder="1" applyProtection="1">
      <protection hidden="1"/>
    </xf>
    <xf numFmtId="0" fontId="5" fillId="0" borderId="82" xfId="0" applyFont="1" applyFill="1" applyBorder="1" applyAlignment="1" applyProtection="1">
      <alignment horizontal="left"/>
      <protection hidden="1"/>
    </xf>
    <xf numFmtId="0" fontId="8" fillId="2" borderId="0" xfId="2" applyFill="1" applyAlignment="1" applyProtection="1">
      <alignment horizontal="center"/>
      <protection hidden="1"/>
    </xf>
    <xf numFmtId="0" fontId="0" fillId="4" borderId="19" xfId="0" applyFill="1" applyBorder="1" applyAlignment="1" applyProtection="1">
      <alignment horizontal="center" vertical="center"/>
      <protection locked="0"/>
    </xf>
    <xf numFmtId="0" fontId="0" fillId="2" borderId="0" xfId="0" applyFill="1" applyBorder="1" applyProtection="1">
      <protection hidden="1"/>
    </xf>
    <xf numFmtId="0" fontId="51" fillId="2" borderId="0" xfId="0" applyFont="1" applyFill="1" applyBorder="1" applyAlignment="1" applyProtection="1">
      <alignment vertical="center" wrapText="1"/>
      <protection hidden="1"/>
    </xf>
    <xf numFmtId="0" fontId="0" fillId="0" borderId="0" xfId="0" applyFill="1" applyProtection="1">
      <protection hidden="1"/>
    </xf>
    <xf numFmtId="0" fontId="0" fillId="0" borderId="0" xfId="0" applyBorder="1"/>
    <xf numFmtId="0" fontId="4" fillId="3" borderId="23" xfId="0" applyFont="1" applyFill="1" applyBorder="1" applyAlignment="1">
      <alignment vertical="center" wrapText="1"/>
    </xf>
    <xf numFmtId="0" fontId="4" fillId="3" borderId="9" xfId="0" applyFont="1" applyFill="1" applyBorder="1" applyAlignment="1">
      <alignment vertical="center" wrapText="1"/>
    </xf>
    <xf numFmtId="0" fontId="4" fillId="3" borderId="0" xfId="0" applyFont="1" applyFill="1" applyBorder="1" applyAlignment="1">
      <alignment vertical="center"/>
    </xf>
    <xf numFmtId="0" fontId="0" fillId="3" borderId="11" xfId="0" applyFill="1" applyBorder="1" applyAlignment="1"/>
    <xf numFmtId="0" fontId="0" fillId="3" borderId="12" xfId="0" applyFill="1" applyBorder="1" applyAlignment="1"/>
    <xf numFmtId="0" fontId="4" fillId="3" borderId="12" xfId="0" applyFont="1" applyFill="1" applyBorder="1" applyAlignment="1">
      <alignment vertical="center" wrapText="1"/>
    </xf>
    <xf numFmtId="165" fontId="0" fillId="0" borderId="36" xfId="1" applyNumberFormat="1" applyFont="1" applyFill="1" applyBorder="1" applyAlignment="1" applyProtection="1">
      <alignment vertical="top" wrapText="1"/>
    </xf>
    <xf numFmtId="0" fontId="4" fillId="0" borderId="19" xfId="0" applyFont="1" applyFill="1" applyBorder="1" applyAlignment="1" applyProtection="1">
      <alignment horizontal="center" vertical="center"/>
      <protection hidden="1"/>
    </xf>
    <xf numFmtId="3" fontId="4" fillId="0" borderId="51" xfId="1" applyNumberFormat="1" applyFont="1" applyBorder="1" applyProtection="1"/>
    <xf numFmtId="3" fontId="5" fillId="4" borderId="29"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5" fillId="4" borderId="71" xfId="0" applyFont="1" applyFill="1" applyBorder="1" applyAlignment="1" applyProtection="1">
      <alignment vertical="top" wrapText="1"/>
      <protection locked="0"/>
    </xf>
    <xf numFmtId="0" fontId="5" fillId="4" borderId="68" xfId="0" applyFont="1" applyFill="1" applyBorder="1" applyAlignment="1" applyProtection="1">
      <alignment vertical="top" wrapText="1"/>
      <protection locked="0"/>
    </xf>
    <xf numFmtId="0" fontId="5" fillId="4" borderId="51" xfId="0" applyFont="1" applyFill="1" applyBorder="1" applyAlignment="1" applyProtection="1">
      <alignment vertical="top" wrapText="1"/>
      <protection locked="0"/>
    </xf>
    <xf numFmtId="3" fontId="5" fillId="4" borderId="26" xfId="0" applyNumberFormat="1" applyFont="1" applyFill="1" applyBorder="1" applyAlignment="1" applyProtection="1">
      <alignment horizontal="right"/>
      <protection locked="0"/>
    </xf>
    <xf numFmtId="0" fontId="5" fillId="4" borderId="27" xfId="0" applyFont="1" applyFill="1" applyBorder="1" applyAlignment="1" applyProtection="1">
      <alignment vertical="top" wrapText="1"/>
      <protection locked="0"/>
    </xf>
    <xf numFmtId="3" fontId="5" fillId="4" borderId="31" xfId="0" applyNumberFormat="1" applyFont="1" applyFill="1" applyBorder="1" applyAlignment="1" applyProtection="1">
      <alignment horizontal="right"/>
      <protection locked="0"/>
    </xf>
    <xf numFmtId="0" fontId="0" fillId="3" borderId="10" xfId="0" applyFill="1" applyBorder="1" applyAlignment="1"/>
    <xf numFmtId="0" fontId="0" fillId="3" borderId="0" xfId="0" applyFill="1" applyBorder="1" applyAlignment="1"/>
    <xf numFmtId="0" fontId="2" fillId="0" borderId="0" xfId="0" applyFont="1" applyBorder="1" applyAlignment="1"/>
    <xf numFmtId="0" fontId="2" fillId="3" borderId="23" xfId="0" applyFont="1" applyFill="1" applyBorder="1" applyAlignment="1">
      <alignment vertical="center" wrapText="1"/>
    </xf>
    <xf numFmtId="0" fontId="19" fillId="2" borderId="0" xfId="0" applyFont="1" applyFill="1" applyAlignment="1">
      <alignment wrapText="1"/>
    </xf>
    <xf numFmtId="0" fontId="2" fillId="3" borderId="10" xfId="0" applyFont="1" applyFill="1" applyBorder="1" applyAlignment="1"/>
    <xf numFmtId="0" fontId="19" fillId="2" borderId="0" xfId="0" applyFont="1" applyFill="1" applyBorder="1" applyAlignment="1">
      <alignment vertical="center" wrapText="1"/>
    </xf>
    <xf numFmtId="0" fontId="19" fillId="2" borderId="0" xfId="0" applyFont="1" applyFill="1" applyAlignment="1">
      <alignment vertical="center" wrapText="1"/>
    </xf>
    <xf numFmtId="0" fontId="5" fillId="0" borderId="0" xfId="0" applyFont="1" applyFill="1" applyAlignment="1" applyProtection="1">
      <alignment horizontal="center"/>
      <protection hidden="1"/>
    </xf>
    <xf numFmtId="0" fontId="1" fillId="4" borderId="19" xfId="0" applyFont="1" applyFill="1" applyBorder="1" applyAlignment="1" applyProtection="1">
      <alignment horizontal="left" vertical="top" wrapText="1"/>
      <protection locked="0"/>
    </xf>
    <xf numFmtId="0" fontId="0" fillId="4" borderId="0" xfId="0" applyFill="1" applyBorder="1" applyAlignment="1" applyProtection="1">
      <alignment vertical="top" wrapText="1"/>
      <protection locked="0"/>
    </xf>
    <xf numFmtId="0" fontId="1" fillId="4" borderId="19" xfId="0" applyFont="1" applyFill="1" applyBorder="1" applyAlignment="1" applyProtection="1">
      <alignment vertical="top" wrapText="1"/>
      <protection locked="0"/>
    </xf>
    <xf numFmtId="0" fontId="1" fillId="4" borderId="28" xfId="0" applyFont="1" applyFill="1" applyBorder="1" applyProtection="1">
      <protection locked="0"/>
    </xf>
    <xf numFmtId="0" fontId="5" fillId="4" borderId="29" xfId="0" applyFont="1" applyFill="1" applyBorder="1" applyAlignment="1" applyProtection="1">
      <alignment horizontal="center"/>
      <protection locked="0"/>
    </xf>
    <xf numFmtId="0" fontId="19" fillId="0" borderId="0" xfId="0" applyFont="1" applyFill="1" applyProtection="1">
      <protection hidden="1"/>
    </xf>
    <xf numFmtId="165" fontId="0" fillId="0" borderId="0" xfId="1" applyNumberFormat="1" applyFont="1" applyFill="1" applyProtection="1"/>
    <xf numFmtId="166" fontId="16" fillId="0" borderId="23" xfId="0" applyNumberFormat="1" applyFont="1" applyFill="1" applyBorder="1" applyAlignment="1" applyProtection="1">
      <alignment vertical="center" wrapText="1"/>
    </xf>
    <xf numFmtId="0" fontId="5" fillId="0" borderId="0" xfId="0" applyNumberFormat="1" applyFont="1" applyFill="1" applyProtection="1"/>
    <xf numFmtId="3" fontId="5" fillId="4" borderId="30" xfId="0" applyNumberFormat="1" applyFont="1" applyFill="1" applyBorder="1" applyAlignment="1" applyProtection="1">
      <alignment horizontal="right"/>
      <protection locked="0"/>
    </xf>
    <xf numFmtId="10" fontId="5" fillId="0" borderId="70" xfId="0" applyNumberFormat="1" applyFont="1" applyFill="1" applyBorder="1" applyProtection="1">
      <protection hidden="1"/>
    </xf>
    <xf numFmtId="0" fontId="5" fillId="0" borderId="28" xfId="0" applyFont="1" applyFill="1" applyBorder="1" applyAlignment="1" applyProtection="1">
      <alignment horizontal="left"/>
      <protection hidden="1"/>
    </xf>
    <xf numFmtId="0" fontId="4" fillId="0" borderId="2" xfId="0" applyFont="1" applyFill="1" applyBorder="1" applyAlignment="1" applyProtection="1">
      <alignment horizontal="left"/>
      <protection hidden="1"/>
    </xf>
    <xf numFmtId="3" fontId="4" fillId="0" borderId="4" xfId="0" applyNumberFormat="1" applyFont="1" applyFill="1" applyBorder="1" applyAlignment="1" applyProtection="1">
      <protection hidden="1"/>
    </xf>
    <xf numFmtId="10" fontId="4" fillId="0" borderId="13" xfId="0" applyNumberFormat="1" applyFont="1" applyFill="1" applyBorder="1" applyProtection="1">
      <protection hidden="1"/>
    </xf>
    <xf numFmtId="166" fontId="1" fillId="0" borderId="19" xfId="0" applyNumberFormat="1" applyFont="1" applyFill="1" applyBorder="1" applyAlignment="1" applyProtection="1">
      <alignment horizontal="center" vertical="center"/>
      <protection hidden="1"/>
    </xf>
    <xf numFmtId="166" fontId="1" fillId="0" borderId="19" xfId="0" applyNumberFormat="1" applyFont="1" applyFill="1" applyBorder="1" applyAlignment="1" applyProtection="1">
      <alignment horizontal="center" vertical="center"/>
    </xf>
    <xf numFmtId="165" fontId="8" fillId="2" borderId="0" xfId="2" applyNumberFormat="1" applyFill="1" applyAlignment="1" applyProtection="1">
      <alignment horizontal="center"/>
    </xf>
    <xf numFmtId="0" fontId="4" fillId="2" borderId="0" xfId="0" applyFont="1" applyFill="1" applyBorder="1" applyAlignment="1" applyProtection="1">
      <alignment horizontal="center"/>
      <protection hidden="1"/>
    </xf>
    <xf numFmtId="0" fontId="2" fillId="0" borderId="0" xfId="0" applyFont="1" applyFill="1" applyAlignment="1" applyProtection="1">
      <alignment horizontal="center"/>
      <protection hidden="1"/>
    </xf>
    <xf numFmtId="166" fontId="0" fillId="2" borderId="0" xfId="0" applyNumberFormat="1" applyFill="1" applyProtection="1">
      <protection hidden="1"/>
    </xf>
    <xf numFmtId="166" fontId="13" fillId="2" borderId="0" xfId="0" applyNumberFormat="1" applyFont="1" applyFill="1" applyAlignment="1" applyProtection="1">
      <alignment wrapText="1"/>
      <protection hidden="1"/>
    </xf>
    <xf numFmtId="0" fontId="5" fillId="0" borderId="0" xfId="0" applyFont="1" applyFill="1" applyProtection="1">
      <protection hidden="1"/>
    </xf>
    <xf numFmtId="0" fontId="40" fillId="2" borderId="0" xfId="0" applyFont="1" applyFill="1" applyAlignment="1" applyProtection="1">
      <protection hidden="1"/>
    </xf>
    <xf numFmtId="166" fontId="0" fillId="2" borderId="0" xfId="0" applyNumberFormat="1" applyFill="1" applyBorder="1" applyProtection="1">
      <protection hidden="1"/>
    </xf>
    <xf numFmtId="166" fontId="4" fillId="2" borderId="0" xfId="0" applyNumberFormat="1" applyFont="1" applyFill="1" applyBorder="1" applyProtection="1">
      <protection hidden="1"/>
    </xf>
    <xf numFmtId="166" fontId="4" fillId="2" borderId="0" xfId="0" applyNumberFormat="1" applyFont="1" applyFill="1" applyProtection="1">
      <protection hidden="1"/>
    </xf>
    <xf numFmtId="166" fontId="28" fillId="2" borderId="0" xfId="0" applyNumberFormat="1" applyFont="1" applyFill="1" applyAlignment="1" applyProtection="1">
      <alignment vertical="center"/>
      <protection hidden="1"/>
    </xf>
    <xf numFmtId="0" fontId="0" fillId="2" borderId="0" xfId="0" applyFill="1" applyAlignment="1" applyProtection="1">
      <protection hidden="1"/>
    </xf>
    <xf numFmtId="166" fontId="4" fillId="2" borderId="0" xfId="0" applyNumberFormat="1" applyFont="1" applyFill="1" applyAlignment="1" applyProtection="1">
      <alignment horizontal="center"/>
      <protection hidden="1"/>
    </xf>
    <xf numFmtId="166" fontId="4" fillId="0" borderId="2" xfId="0" applyNumberFormat="1" applyFont="1" applyFill="1" applyBorder="1" applyAlignment="1" applyProtection="1">
      <alignment horizontal="center"/>
      <protection hidden="1"/>
    </xf>
    <xf numFmtId="166" fontId="4" fillId="0" borderId="4" xfId="0" applyNumberFormat="1" applyFont="1" applyFill="1" applyBorder="1" applyAlignment="1" applyProtection="1">
      <alignment horizontal="center"/>
      <protection hidden="1"/>
    </xf>
    <xf numFmtId="166" fontId="4" fillId="0" borderId="13" xfId="0" applyNumberFormat="1" applyFont="1" applyFill="1" applyBorder="1" applyAlignment="1" applyProtection="1">
      <alignment horizontal="center"/>
      <protection hidden="1"/>
    </xf>
    <xf numFmtId="0" fontId="5" fillId="0" borderId="0" xfId="0" applyNumberFormat="1" applyFont="1" applyFill="1" applyProtection="1">
      <protection hidden="1"/>
    </xf>
    <xf numFmtId="3" fontId="4" fillId="0" borderId="73" xfId="0" applyNumberFormat="1" applyFont="1" applyFill="1" applyBorder="1" applyProtection="1">
      <protection hidden="1"/>
    </xf>
    <xf numFmtId="166" fontId="0" fillId="0" borderId="29" xfId="0" applyNumberFormat="1" applyFill="1" applyBorder="1" applyProtection="1">
      <protection hidden="1"/>
    </xf>
    <xf numFmtId="168" fontId="0" fillId="3" borderId="29" xfId="0" applyNumberFormat="1" applyFill="1" applyBorder="1" applyProtection="1">
      <protection hidden="1"/>
    </xf>
    <xf numFmtId="3" fontId="4" fillId="0" borderId="71" xfId="0" applyNumberFormat="1" applyFont="1" applyFill="1" applyBorder="1" applyProtection="1">
      <protection hidden="1"/>
    </xf>
    <xf numFmtId="166" fontId="21" fillId="2" borderId="0" xfId="0" applyNumberFormat="1" applyFont="1" applyFill="1" applyProtection="1">
      <protection hidden="1"/>
    </xf>
    <xf numFmtId="166" fontId="0" fillId="0" borderId="19" xfId="0" applyNumberFormat="1" applyFill="1" applyBorder="1" applyProtection="1">
      <protection hidden="1"/>
    </xf>
    <xf numFmtId="168" fontId="0" fillId="3" borderId="19" xfId="0" applyNumberFormat="1" applyFill="1" applyBorder="1" applyProtection="1">
      <protection hidden="1"/>
    </xf>
    <xf numFmtId="3" fontId="4" fillId="0" borderId="68" xfId="0" applyNumberFormat="1" applyFont="1" applyFill="1" applyBorder="1" applyProtection="1">
      <protection hidden="1"/>
    </xf>
    <xf numFmtId="166" fontId="0" fillId="0" borderId="36" xfId="0" applyNumberFormat="1" applyFill="1" applyBorder="1" applyProtection="1">
      <protection hidden="1"/>
    </xf>
    <xf numFmtId="166" fontId="4" fillId="0" borderId="17" xfId="0" applyNumberFormat="1" applyFont="1" applyFill="1" applyBorder="1" applyAlignment="1" applyProtection="1">
      <protection hidden="1"/>
    </xf>
    <xf numFmtId="3" fontId="4" fillId="0" borderId="4" xfId="0" applyNumberFormat="1" applyFont="1" applyFill="1" applyBorder="1" applyProtection="1">
      <protection hidden="1"/>
    </xf>
    <xf numFmtId="166" fontId="4" fillId="0" borderId="2" xfId="0" applyNumberFormat="1" applyFont="1" applyFill="1" applyBorder="1" applyProtection="1">
      <protection hidden="1"/>
    </xf>
    <xf numFmtId="3" fontId="4" fillId="0" borderId="18" xfId="0" applyNumberFormat="1" applyFont="1" applyFill="1" applyBorder="1" applyProtection="1">
      <protection hidden="1"/>
    </xf>
    <xf numFmtId="166" fontId="0" fillId="0" borderId="28" xfId="0" applyNumberFormat="1" applyFill="1" applyBorder="1" applyProtection="1">
      <protection hidden="1"/>
    </xf>
    <xf numFmtId="3" fontId="0" fillId="2" borderId="0" xfId="0" applyNumberFormat="1" applyFill="1" applyProtection="1">
      <protection hidden="1"/>
    </xf>
    <xf numFmtId="3" fontId="0" fillId="2" borderId="0" xfId="0" quotePrefix="1" applyNumberFormat="1" applyFill="1" applyBorder="1" applyAlignment="1" applyProtection="1">
      <alignment horizontal="center"/>
      <protection hidden="1"/>
    </xf>
    <xf numFmtId="3" fontId="0" fillId="2" borderId="0" xfId="0" applyNumberFormat="1" applyFill="1" applyBorder="1" applyAlignment="1" applyProtection="1">
      <alignment horizontal="center"/>
      <protection hidden="1"/>
    </xf>
    <xf numFmtId="0" fontId="0" fillId="2" borderId="0" xfId="0" applyFill="1" applyBorder="1" applyAlignment="1" applyProtection="1">
      <alignment horizontal="center"/>
      <protection hidden="1"/>
    </xf>
    <xf numFmtId="167" fontId="23" fillId="0" borderId="17" xfId="0" applyNumberFormat="1" applyFont="1" applyFill="1" applyBorder="1" applyAlignment="1" applyProtection="1">
      <protection hidden="1"/>
    </xf>
    <xf numFmtId="3" fontId="23" fillId="0" borderId="4" xfId="0" applyNumberFormat="1" applyFont="1" applyFill="1" applyBorder="1" applyProtection="1">
      <protection hidden="1"/>
    </xf>
    <xf numFmtId="3" fontId="23" fillId="0" borderId="13" xfId="0" applyNumberFormat="1" applyFont="1" applyFill="1" applyBorder="1" applyProtection="1">
      <protection hidden="1"/>
    </xf>
    <xf numFmtId="167" fontId="23" fillId="2" borderId="0" xfId="0" applyNumberFormat="1" applyFont="1" applyFill="1" applyBorder="1" applyProtection="1">
      <protection hidden="1"/>
    </xf>
    <xf numFmtId="0" fontId="23" fillId="0" borderId="0" xfId="0" applyNumberFormat="1" applyFont="1" applyFill="1" applyProtection="1">
      <protection hidden="1"/>
    </xf>
    <xf numFmtId="167" fontId="23" fillId="2" borderId="0" xfId="0" applyNumberFormat="1" applyFont="1" applyFill="1" applyProtection="1">
      <protection hidden="1"/>
    </xf>
    <xf numFmtId="167" fontId="0" fillId="2" borderId="0" xfId="0" applyNumberFormat="1" applyFill="1" applyProtection="1">
      <protection hidden="1"/>
    </xf>
    <xf numFmtId="167" fontId="4" fillId="2" borderId="0" xfId="0" applyNumberFormat="1" applyFont="1" applyFill="1" applyBorder="1" applyProtection="1">
      <protection hidden="1"/>
    </xf>
    <xf numFmtId="2" fontId="21" fillId="2" borderId="0" xfId="0" applyNumberFormat="1" applyFont="1" applyFill="1" applyProtection="1">
      <protection hidden="1"/>
    </xf>
    <xf numFmtId="2" fontId="26" fillId="2" borderId="0" xfId="0" applyNumberFormat="1" applyFont="1" applyFill="1" applyProtection="1">
      <protection hidden="1"/>
    </xf>
    <xf numFmtId="0" fontId="0" fillId="2" borderId="0" xfId="0" applyFill="1" applyBorder="1" applyAlignment="1" applyProtection="1">
      <alignment horizontal="center" vertical="center"/>
      <protection hidden="1"/>
    </xf>
    <xf numFmtId="0" fontId="4" fillId="2" borderId="77"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6" fillId="2" borderId="0" xfId="0" applyFont="1" applyFill="1" applyBorder="1" applyAlignment="1" applyProtection="1">
      <alignment vertical="center"/>
      <protection hidden="1"/>
    </xf>
    <xf numFmtId="0" fontId="33" fillId="2" borderId="0" xfId="0" applyFont="1" applyFill="1" applyBorder="1" applyAlignment="1" applyProtection="1">
      <alignment vertical="center"/>
      <protection hidden="1"/>
    </xf>
    <xf numFmtId="0" fontId="33" fillId="2" borderId="0" xfId="0" applyFont="1" applyFill="1" applyBorder="1" applyAlignment="1" applyProtection="1">
      <alignment horizontal="left" vertical="center"/>
      <protection hidden="1"/>
    </xf>
    <xf numFmtId="0" fontId="53" fillId="2" borderId="0" xfId="0" applyFont="1" applyFill="1" applyBorder="1" applyProtection="1">
      <protection hidden="1"/>
    </xf>
    <xf numFmtId="0" fontId="0" fillId="2" borderId="0" xfId="0" applyFill="1" applyBorder="1" applyAlignment="1" applyProtection="1">
      <alignment horizontal="left" wrapText="1"/>
      <protection hidden="1"/>
    </xf>
    <xf numFmtId="0" fontId="0" fillId="2" borderId="77" xfId="0" applyFill="1" applyBorder="1" applyProtection="1">
      <protection hidden="1"/>
    </xf>
    <xf numFmtId="0" fontId="0" fillId="2" borderId="77" xfId="0" applyFill="1" applyBorder="1" applyAlignment="1" applyProtection="1">
      <alignment horizontal="center"/>
      <protection hidden="1"/>
    </xf>
    <xf numFmtId="0" fontId="0" fillId="2" borderId="76" xfId="0" applyFill="1" applyBorder="1" applyProtection="1">
      <protection hidden="1"/>
    </xf>
    <xf numFmtId="0" fontId="0" fillId="2" borderId="76" xfId="0" applyFill="1" applyBorder="1" applyAlignment="1" applyProtection="1">
      <alignment horizontal="center"/>
      <protection hidden="1"/>
    </xf>
    <xf numFmtId="0" fontId="6" fillId="2" borderId="0" xfId="0" applyFont="1" applyFill="1" applyBorder="1" applyProtection="1">
      <protection hidden="1"/>
    </xf>
    <xf numFmtId="0" fontId="25" fillId="2" borderId="5" xfId="0" applyFont="1" applyFill="1" applyBorder="1" applyProtection="1">
      <protection hidden="1"/>
    </xf>
    <xf numFmtId="0" fontId="0" fillId="2" borderId="0" xfId="0" applyFill="1" applyBorder="1" applyAlignment="1" applyProtection="1">
      <alignment horizontal="right"/>
      <protection hidden="1"/>
    </xf>
    <xf numFmtId="0" fontId="0" fillId="0" borderId="0" xfId="0" applyProtection="1">
      <protection hidden="1"/>
    </xf>
    <xf numFmtId="0" fontId="13" fillId="2" borderId="0" xfId="0" applyFont="1" applyFill="1" applyProtection="1">
      <protection hidden="1"/>
    </xf>
    <xf numFmtId="0" fontId="5" fillId="2" borderId="0" xfId="0" applyFont="1" applyFill="1" applyAlignment="1" applyProtection="1">
      <alignment wrapText="1"/>
      <protection hidden="1"/>
    </xf>
    <xf numFmtId="0" fontId="31" fillId="2" borderId="0" xfId="0" applyFont="1" applyFill="1" applyAlignment="1" applyProtection="1">
      <alignment horizontal="center" vertical="center" wrapText="1"/>
      <protection hidden="1"/>
    </xf>
    <xf numFmtId="0" fontId="0" fillId="2" borderId="78" xfId="0" applyFill="1" applyBorder="1" applyProtection="1">
      <protection hidden="1"/>
    </xf>
    <xf numFmtId="0" fontId="0" fillId="2" borderId="39" xfId="0" applyFill="1" applyBorder="1" applyProtection="1">
      <protection hidden="1"/>
    </xf>
    <xf numFmtId="0" fontId="0" fillId="2" borderId="79" xfId="0" applyFill="1" applyBorder="1" applyProtection="1">
      <protection hidden="1"/>
    </xf>
    <xf numFmtId="0" fontId="0" fillId="2" borderId="5" xfId="0" applyFill="1" applyBorder="1" applyProtection="1">
      <protection hidden="1"/>
    </xf>
    <xf numFmtId="0" fontId="0" fillId="2" borderId="0" xfId="0" applyFill="1" applyAlignment="1" applyProtection="1">
      <alignment vertical="center"/>
      <protection hidden="1"/>
    </xf>
    <xf numFmtId="0" fontId="0" fillId="2" borderId="79" xfId="0" applyFill="1" applyBorder="1" applyAlignment="1" applyProtection="1">
      <alignment vertical="center"/>
      <protection hidden="1"/>
    </xf>
    <xf numFmtId="0" fontId="0" fillId="0" borderId="0" xfId="0" applyFill="1" applyAlignment="1" applyProtection="1">
      <alignment vertical="center"/>
      <protection hidden="1"/>
    </xf>
    <xf numFmtId="0" fontId="0" fillId="0" borderId="0" xfId="0" applyAlignment="1" applyProtection="1">
      <alignment vertical="center"/>
      <protection hidden="1"/>
    </xf>
    <xf numFmtId="0" fontId="4" fillId="2" borderId="0" xfId="0" applyFont="1" applyFill="1" applyAlignment="1" applyProtection="1">
      <alignment vertical="center" wrapText="1"/>
      <protection hidden="1"/>
    </xf>
    <xf numFmtId="0" fontId="4" fillId="2" borderId="79" xfId="0" applyFont="1" applyFill="1" applyBorder="1" applyAlignment="1" applyProtection="1">
      <alignment vertical="center" wrapText="1"/>
      <protection hidden="1"/>
    </xf>
    <xf numFmtId="0" fontId="4" fillId="2" borderId="0" xfId="0" applyFont="1" applyFill="1" applyBorder="1" applyAlignment="1" applyProtection="1">
      <alignment vertical="center" wrapText="1"/>
      <protection hidden="1"/>
    </xf>
    <xf numFmtId="0" fontId="4" fillId="2" borderId="0" xfId="0" applyFont="1" applyFill="1" applyBorder="1" applyAlignment="1" applyProtection="1">
      <alignment horizontal="center" vertical="center" wrapText="1"/>
      <protection hidden="1"/>
    </xf>
    <xf numFmtId="0" fontId="4" fillId="2" borderId="5" xfId="0" applyFont="1" applyFill="1" applyBorder="1" applyAlignment="1" applyProtection="1">
      <alignment vertical="center" wrapText="1"/>
      <protection hidden="1"/>
    </xf>
    <xf numFmtId="0" fontId="4" fillId="0" borderId="0" xfId="0" applyFont="1" applyFill="1" applyAlignment="1" applyProtection="1">
      <alignment vertical="center" wrapText="1"/>
      <protection hidden="1"/>
    </xf>
    <xf numFmtId="0" fontId="4" fillId="0" borderId="0" xfId="0" applyFont="1" applyAlignment="1" applyProtection="1">
      <alignment vertical="center" wrapText="1"/>
      <protection hidden="1"/>
    </xf>
    <xf numFmtId="0" fontId="0" fillId="2" borderId="80" xfId="0" applyFill="1" applyBorder="1" applyProtection="1">
      <protection hidden="1"/>
    </xf>
    <xf numFmtId="0" fontId="0" fillId="2" borderId="77" xfId="0" applyFill="1" applyBorder="1" applyAlignment="1" applyProtection="1">
      <alignment horizontal="center" vertical="center"/>
      <protection hidden="1"/>
    </xf>
    <xf numFmtId="0" fontId="0" fillId="2" borderId="7" xfId="0" applyFill="1" applyBorder="1" applyProtection="1">
      <protection hidden="1"/>
    </xf>
    <xf numFmtId="0" fontId="4" fillId="2" borderId="0" xfId="0" applyFont="1" applyFill="1" applyAlignment="1" applyProtection="1">
      <alignment horizontal="center" vertical="center"/>
      <protection hidden="1"/>
    </xf>
    <xf numFmtId="0" fontId="52" fillId="2" borderId="0" xfId="2" applyFont="1" applyFill="1" applyBorder="1" applyAlignment="1" applyProtection="1">
      <protection hidden="1"/>
    </xf>
    <xf numFmtId="0" fontId="0" fillId="2" borderId="0" xfId="0" applyFill="1" applyBorder="1" applyAlignment="1" applyProtection="1">
      <alignment horizontal="center" vertical="center" wrapText="1"/>
      <protection hidden="1"/>
    </xf>
    <xf numFmtId="1" fontId="0" fillId="0" borderId="0" xfId="0" applyNumberFormat="1" applyFill="1" applyProtection="1">
      <protection hidden="1"/>
    </xf>
    <xf numFmtId="0" fontId="0" fillId="0" borderId="0" xfId="0" applyFill="1" applyAlignment="1" applyProtection="1">
      <alignment horizontal="center"/>
      <protection hidden="1"/>
    </xf>
    <xf numFmtId="0" fontId="0" fillId="0" borderId="0" xfId="0" applyFill="1" applyAlignment="1" applyProtection="1">
      <protection hidden="1"/>
    </xf>
    <xf numFmtId="0" fontId="4" fillId="2" borderId="0" xfId="0" applyFont="1" applyFill="1" applyProtection="1">
      <protection hidden="1"/>
    </xf>
    <xf numFmtId="0" fontId="0" fillId="2" borderId="0" xfId="0" applyNumberFormat="1" applyFill="1" applyBorder="1" applyAlignment="1" applyProtection="1">
      <alignment horizontal="center"/>
      <protection hidden="1"/>
    </xf>
    <xf numFmtId="3" fontId="0" fillId="0" borderId="19" xfId="0" applyNumberFormat="1" applyFill="1" applyBorder="1" applyAlignment="1" applyProtection="1">
      <alignment horizontal="right" indent="1"/>
      <protection hidden="1"/>
    </xf>
    <xf numFmtId="0" fontId="5" fillId="2" borderId="0" xfId="0" applyFont="1" applyFill="1" applyProtection="1">
      <protection hidden="1"/>
    </xf>
    <xf numFmtId="0" fontId="0" fillId="0" borderId="0" xfId="0" applyFill="1" applyBorder="1" applyProtection="1">
      <protection hidden="1"/>
    </xf>
    <xf numFmtId="0" fontId="0" fillId="0" borderId="0" xfId="0" applyFill="1" applyBorder="1" applyAlignment="1" applyProtection="1">
      <protection hidden="1"/>
    </xf>
    <xf numFmtId="3" fontId="0" fillId="2" borderId="0" xfId="0" applyNumberFormat="1" applyFill="1" applyBorder="1" applyAlignment="1" applyProtection="1">
      <alignment horizontal="right" indent="1"/>
      <protection hidden="1"/>
    </xf>
    <xf numFmtId="0" fontId="0" fillId="0" borderId="0" xfId="0" applyBorder="1" applyProtection="1">
      <protection hidden="1"/>
    </xf>
    <xf numFmtId="3" fontId="0" fillId="2" borderId="0" xfId="0" applyNumberFormat="1" applyFill="1" applyBorder="1" applyProtection="1">
      <protection hidden="1"/>
    </xf>
    <xf numFmtId="3" fontId="4" fillId="2" borderId="0" xfId="0" applyNumberFormat="1" applyFont="1" applyFill="1" applyBorder="1" applyAlignment="1" applyProtection="1">
      <alignment horizontal="right" indent="1"/>
      <protection hidden="1"/>
    </xf>
    <xf numFmtId="0" fontId="7" fillId="0" borderId="0" xfId="0" applyFont="1" applyFill="1" applyProtection="1">
      <protection hidden="1"/>
    </xf>
    <xf numFmtId="3" fontId="4" fillId="0" borderId="16" xfId="0" applyNumberFormat="1" applyFont="1" applyFill="1" applyBorder="1" applyAlignment="1" applyProtection="1">
      <alignment horizontal="right" indent="1"/>
      <protection hidden="1"/>
    </xf>
    <xf numFmtId="0" fontId="53" fillId="0" borderId="0" xfId="0" applyFont="1" applyFill="1" applyProtection="1">
      <protection hidden="1"/>
    </xf>
    <xf numFmtId="0" fontId="16" fillId="2" borderId="0" xfId="0" applyFont="1" applyFill="1" applyProtection="1">
      <protection hidden="1"/>
    </xf>
    <xf numFmtId="0" fontId="52" fillId="2" borderId="0" xfId="2" applyFont="1" applyFill="1" applyAlignment="1" applyProtection="1">
      <alignment horizontal="center" vertical="center"/>
      <protection hidden="1"/>
    </xf>
    <xf numFmtId="0" fontId="4" fillId="2" borderId="0" xfId="0" applyFont="1" applyFill="1" applyAlignment="1" applyProtection="1">
      <alignment horizontal="center"/>
      <protection hidden="1"/>
    </xf>
    <xf numFmtId="0" fontId="0" fillId="2" borderId="0" xfId="0" applyFill="1" applyBorder="1" applyAlignment="1" applyProtection="1">
      <alignment vertical="center"/>
      <protection hidden="1"/>
    </xf>
    <xf numFmtId="0" fontId="0" fillId="0" borderId="23" xfId="0" applyFill="1" applyBorder="1" applyProtection="1">
      <protection hidden="1"/>
    </xf>
    <xf numFmtId="0" fontId="0" fillId="0" borderId="10" xfId="0" applyFill="1" applyBorder="1" applyProtection="1">
      <protection hidden="1"/>
    </xf>
    <xf numFmtId="0" fontId="0" fillId="0" borderId="11" xfId="0" applyFill="1" applyBorder="1" applyProtection="1">
      <protection hidden="1"/>
    </xf>
    <xf numFmtId="0" fontId="4" fillId="0" borderId="4" xfId="0" applyFont="1" applyBorder="1" applyAlignment="1" applyProtection="1">
      <alignment horizontal="center" vertical="center" wrapText="1"/>
      <protection hidden="1"/>
    </xf>
    <xf numFmtId="0" fontId="4" fillId="2" borderId="0" xfId="0" applyFont="1" applyFill="1" applyAlignment="1" applyProtection="1">
      <alignment vertical="center"/>
      <protection hidden="1"/>
    </xf>
    <xf numFmtId="0" fontId="4" fillId="0" borderId="0" xfId="0" applyFont="1" applyAlignment="1" applyProtection="1">
      <alignment vertical="center"/>
      <protection hidden="1"/>
    </xf>
    <xf numFmtId="0" fontId="0" fillId="0" borderId="36" xfId="0" applyBorder="1" applyProtection="1">
      <protection hidden="1"/>
    </xf>
    <xf numFmtId="0" fontId="0" fillId="0" borderId="19" xfId="0" applyBorder="1" applyProtection="1">
      <protection hidden="1"/>
    </xf>
    <xf numFmtId="0" fontId="0" fillId="0" borderId="82" xfId="0" applyBorder="1" applyProtection="1">
      <protection hidden="1"/>
    </xf>
    <xf numFmtId="0" fontId="0" fillId="0" borderId="15" xfId="0" applyBorder="1" applyProtection="1">
      <protection hidden="1"/>
    </xf>
    <xf numFmtId="0" fontId="0" fillId="0" borderId="31" xfId="0" applyBorder="1" applyProtection="1">
      <protection hidden="1"/>
    </xf>
    <xf numFmtId="7" fontId="0" fillId="2" borderId="0" xfId="0" applyNumberFormat="1" applyFill="1" applyAlignment="1" applyProtection="1">
      <alignment horizontal="center"/>
      <protection hidden="1"/>
    </xf>
    <xf numFmtId="0" fontId="4" fillId="0" borderId="0" xfId="0" applyFont="1" applyAlignment="1" applyProtection="1">
      <alignment horizontal="center"/>
      <protection hidden="1"/>
    </xf>
    <xf numFmtId="0" fontId="5" fillId="0" borderId="17" xfId="0" applyFont="1" applyFill="1" applyBorder="1" applyProtection="1">
      <protection hidden="1"/>
    </xf>
    <xf numFmtId="0" fontId="5" fillId="0" borderId="18" xfId="0" applyFont="1" applyFill="1" applyBorder="1" applyProtection="1">
      <protection hidden="1"/>
    </xf>
    <xf numFmtId="0" fontId="0" fillId="0" borderId="9" xfId="0" applyFill="1" applyBorder="1" applyProtection="1">
      <protection hidden="1"/>
    </xf>
    <xf numFmtId="0" fontId="1" fillId="2" borderId="0" xfId="0" applyFont="1" applyFill="1" applyProtection="1">
      <protection hidden="1"/>
    </xf>
    <xf numFmtId="166" fontId="3" fillId="2" borderId="0" xfId="0" applyNumberFormat="1" applyFont="1" applyFill="1" applyProtection="1">
      <protection hidden="1"/>
    </xf>
    <xf numFmtId="0" fontId="1" fillId="4" borderId="36" xfId="0" applyFont="1" applyFill="1" applyBorder="1" applyAlignment="1" applyProtection="1">
      <alignment vertical="center" wrapText="1"/>
      <protection locked="0"/>
    </xf>
    <xf numFmtId="165" fontId="1" fillId="4" borderId="36" xfId="1" applyNumberFormat="1" applyFont="1" applyFill="1" applyBorder="1" applyAlignment="1" applyProtection="1">
      <alignment vertical="top" wrapText="1"/>
      <protection locked="0"/>
    </xf>
    <xf numFmtId="0" fontId="0" fillId="2" borderId="0" xfId="0" applyFill="1" applyAlignment="1" applyProtection="1">
      <alignment horizontal="left" vertical="center" wrapText="1"/>
      <protection hidden="1"/>
    </xf>
    <xf numFmtId="0" fontId="0" fillId="2" borderId="0" xfId="0" applyFill="1" applyBorder="1" applyAlignment="1" applyProtection="1">
      <alignment horizontal="left" vertical="center" wrapText="1"/>
      <protection hidden="1"/>
    </xf>
    <xf numFmtId="1" fontId="1" fillId="0" borderId="19" xfId="0" applyNumberFormat="1" applyFont="1" applyBorder="1" applyAlignment="1">
      <alignment horizontal="center"/>
    </xf>
    <xf numFmtId="0" fontId="1" fillId="0" borderId="19" xfId="0" applyFont="1" applyBorder="1"/>
    <xf numFmtId="1" fontId="3" fillId="0" borderId="24" xfId="0" applyNumberFormat="1" applyFont="1" applyFill="1" applyBorder="1" applyAlignment="1" applyProtection="1">
      <alignment horizontal="center" vertical="center"/>
      <protection hidden="1"/>
    </xf>
    <xf numFmtId="166" fontId="25" fillId="0" borderId="37" xfId="0" applyNumberFormat="1" applyFont="1" applyFill="1" applyBorder="1" applyAlignment="1" applyProtection="1">
      <alignment horizontal="center"/>
      <protection hidden="1"/>
    </xf>
    <xf numFmtId="166" fontId="25" fillId="0" borderId="2" xfId="0" applyNumberFormat="1" applyFont="1" applyFill="1" applyBorder="1" applyAlignment="1" applyProtection="1">
      <alignment horizontal="center"/>
      <protection hidden="1"/>
    </xf>
    <xf numFmtId="0" fontId="1" fillId="2" borderId="0" xfId="0" applyFont="1" applyFill="1" applyBorder="1" applyProtection="1">
      <protection hidden="1"/>
    </xf>
    <xf numFmtId="0" fontId="3" fillId="2" borderId="0" xfId="0" applyFont="1" applyFill="1" applyProtection="1">
      <protection hidden="1"/>
    </xf>
    <xf numFmtId="0" fontId="60" fillId="0" borderId="0" xfId="0" applyFont="1"/>
    <xf numFmtId="0" fontId="1" fillId="0" borderId="0" xfId="0" applyFont="1"/>
    <xf numFmtId="0" fontId="1" fillId="0" borderId="0" xfId="0" applyFont="1" applyFill="1" applyProtection="1">
      <protection hidden="1"/>
    </xf>
    <xf numFmtId="2" fontId="60" fillId="0" borderId="29" xfId="0" applyNumberFormat="1" applyFont="1" applyFill="1" applyBorder="1" applyAlignment="1" applyProtection="1">
      <alignment horizontal="center"/>
      <protection hidden="1"/>
    </xf>
    <xf numFmtId="2" fontId="5" fillId="0" borderId="4" xfId="0" applyNumberFormat="1" applyFont="1" applyFill="1" applyBorder="1" applyAlignment="1" applyProtection="1">
      <alignment horizontal="center" vertical="center" wrapText="1"/>
      <protection hidden="1"/>
    </xf>
    <xf numFmtId="2" fontId="5" fillId="0" borderId="31" xfId="0" applyNumberFormat="1" applyFont="1" applyFill="1" applyBorder="1" applyProtection="1">
      <protection hidden="1"/>
    </xf>
    <xf numFmtId="4" fontId="0" fillId="0" borderId="19" xfId="0" applyNumberFormat="1" applyFill="1" applyBorder="1" applyAlignment="1" applyProtection="1">
      <alignment horizontal="right" indent="1"/>
      <protection hidden="1"/>
    </xf>
    <xf numFmtId="3" fontId="3" fillId="0" borderId="16" xfId="0" applyNumberFormat="1" applyFont="1" applyFill="1" applyBorder="1" applyAlignment="1" applyProtection="1">
      <alignment horizontal="right" vertical="center" indent="1"/>
      <protection hidden="1"/>
    </xf>
    <xf numFmtId="0" fontId="7" fillId="0" borderId="0" xfId="0" applyFont="1" applyFill="1" applyBorder="1" applyProtection="1">
      <protection hidden="1"/>
    </xf>
    <xf numFmtId="3" fontId="1" fillId="0" borderId="19" xfId="0" applyNumberFormat="1" applyFont="1" applyFill="1" applyBorder="1" applyAlignment="1" applyProtection="1">
      <alignment horizontal="right" indent="1"/>
      <protection hidden="1"/>
    </xf>
    <xf numFmtId="3" fontId="1" fillId="3" borderId="56" xfId="0" applyNumberFormat="1" applyFont="1" applyFill="1" applyBorder="1"/>
    <xf numFmtId="3" fontId="1" fillId="3" borderId="55" xfId="0" applyNumberFormat="1" applyFont="1" applyFill="1" applyBorder="1"/>
    <xf numFmtId="0" fontId="1" fillId="0" borderId="10" xfId="0" applyFont="1" applyFill="1" applyBorder="1"/>
    <xf numFmtId="0" fontId="1" fillId="0" borderId="0" xfId="0" applyFont="1" applyFill="1" applyBorder="1"/>
    <xf numFmtId="3" fontId="1" fillId="0" borderId="0" xfId="0" applyNumberFormat="1" applyFont="1" applyFill="1" applyBorder="1"/>
    <xf numFmtId="0" fontId="3" fillId="0" borderId="0" xfId="0" applyFont="1" applyFill="1" applyBorder="1" applyAlignment="1">
      <alignment horizontal="right"/>
    </xf>
    <xf numFmtId="0" fontId="33" fillId="3" borderId="20" xfId="0" applyFont="1" applyFill="1" applyBorder="1"/>
    <xf numFmtId="165" fontId="1" fillId="0" borderId="36" xfId="1" applyNumberFormat="1" applyFont="1" applyFill="1" applyBorder="1" applyAlignment="1" applyProtection="1">
      <alignment vertical="top" wrapText="1"/>
    </xf>
    <xf numFmtId="0" fontId="3" fillId="0" borderId="0" xfId="0" applyFont="1"/>
    <xf numFmtId="0" fontId="2" fillId="0" borderId="10" xfId="0" applyFont="1" applyFill="1" applyBorder="1" applyAlignment="1">
      <alignment horizontal="right" indent="2"/>
    </xf>
    <xf numFmtId="165" fontId="1" fillId="0" borderId="36" xfId="1" applyNumberFormat="1" applyFont="1" applyBorder="1" applyAlignment="1" applyProtection="1">
      <alignment vertical="top"/>
    </xf>
    <xf numFmtId="10" fontId="16" fillId="0" borderId="23" xfId="0" applyNumberFormat="1" applyFont="1" applyFill="1" applyBorder="1" applyAlignment="1">
      <alignment horizontal="center" vertical="center"/>
    </xf>
    <xf numFmtId="3" fontId="3" fillId="0" borderId="23" xfId="0" applyNumberFormat="1" applyFont="1" applyFill="1" applyBorder="1"/>
    <xf numFmtId="0" fontId="33" fillId="3" borderId="20" xfId="0" applyFont="1" applyFill="1" applyBorder="1" applyAlignment="1">
      <alignment horizontal="left"/>
    </xf>
    <xf numFmtId="0" fontId="33" fillId="3" borderId="20" xfId="0" applyFont="1" applyFill="1" applyBorder="1" applyAlignment="1">
      <alignment horizontal="left" vertical="center"/>
    </xf>
    <xf numFmtId="0" fontId="49" fillId="2" borderId="0" xfId="0" applyFont="1" applyFill="1" applyAlignment="1" applyProtection="1">
      <alignment vertical="top"/>
      <protection hidden="1"/>
    </xf>
    <xf numFmtId="0" fontId="1" fillId="0" borderId="14" xfId="1" quotePrefix="1" applyNumberFormat="1" applyFont="1" applyFill="1" applyBorder="1" applyAlignment="1" applyProtection="1">
      <alignment horizontal="center" vertical="top"/>
    </xf>
    <xf numFmtId="0" fontId="0" fillId="5" borderId="19" xfId="0" applyFill="1" applyBorder="1" applyAlignment="1" applyProtection="1">
      <alignment horizontal="center"/>
      <protection locked="0" hidden="1"/>
    </xf>
    <xf numFmtId="0" fontId="3" fillId="0" borderId="19" xfId="0" applyFont="1" applyFill="1" applyBorder="1" applyAlignment="1" applyProtection="1">
      <alignment horizontal="center"/>
      <protection hidden="1"/>
    </xf>
    <xf numFmtId="0" fontId="1" fillId="0" borderId="19" xfId="0" applyFont="1" applyFill="1" applyBorder="1" applyAlignment="1" applyProtection="1">
      <alignment horizontal="center"/>
      <protection hidden="1"/>
    </xf>
    <xf numFmtId="0" fontId="3" fillId="2" borderId="0" xfId="0" applyFont="1" applyFill="1" applyAlignment="1" applyProtection="1">
      <alignment horizontal="right"/>
      <protection hidden="1"/>
    </xf>
    <xf numFmtId="0" fontId="6" fillId="2" borderId="76" xfId="0" applyFont="1" applyFill="1" applyBorder="1" applyProtection="1">
      <protection hidden="1"/>
    </xf>
    <xf numFmtId="0" fontId="3" fillId="2" borderId="0" xfId="0" applyFont="1" applyFill="1" applyBorder="1" applyProtection="1">
      <protection hidden="1"/>
    </xf>
    <xf numFmtId="0" fontId="3" fillId="2" borderId="0" xfId="0" applyFont="1" applyFill="1" applyBorder="1" applyAlignment="1" applyProtection="1">
      <protection hidden="1"/>
    </xf>
    <xf numFmtId="0" fontId="3" fillId="2" borderId="0" xfId="0" applyFont="1" applyFill="1" applyBorder="1" applyAlignment="1" applyProtection="1">
      <alignment horizontal="center" wrapText="1"/>
      <protection hidden="1"/>
    </xf>
    <xf numFmtId="0" fontId="1" fillId="2" borderId="0" xfId="0" applyFont="1" applyFill="1" applyBorder="1" applyAlignment="1" applyProtection="1">
      <alignment horizontal="right"/>
      <protection hidden="1"/>
    </xf>
    <xf numFmtId="0" fontId="3" fillId="2" borderId="0" xfId="0" applyFont="1" applyFill="1" applyBorder="1" applyAlignment="1" applyProtection="1">
      <alignment horizontal="right"/>
      <protection hidden="1"/>
    </xf>
    <xf numFmtId="0" fontId="3" fillId="2" borderId="77" xfId="0" applyFont="1" applyFill="1" applyBorder="1" applyAlignment="1" applyProtection="1">
      <alignment horizontal="right"/>
      <protection hidden="1"/>
    </xf>
    <xf numFmtId="3" fontId="1" fillId="0" borderId="19" xfId="0" applyNumberFormat="1" applyFont="1" applyFill="1" applyBorder="1" applyAlignment="1" applyProtection="1">
      <alignment horizontal="center"/>
      <protection hidden="1"/>
    </xf>
    <xf numFmtId="3" fontId="3" fillId="0" borderId="19" xfId="0" applyNumberFormat="1" applyFont="1" applyFill="1" applyBorder="1" applyAlignment="1" applyProtection="1">
      <alignment horizontal="center"/>
      <protection hidden="1"/>
    </xf>
    <xf numFmtId="3" fontId="3" fillId="0" borderId="16" xfId="0" applyNumberFormat="1" applyFont="1" applyFill="1" applyBorder="1" applyAlignment="1" applyProtection="1">
      <alignment horizontal="center"/>
      <protection hidden="1"/>
    </xf>
    <xf numFmtId="0" fontId="3" fillId="0" borderId="2" xfId="0" applyFont="1" applyBorder="1" applyAlignment="1" applyProtection="1">
      <alignment horizontal="left" vertical="center"/>
    </xf>
    <xf numFmtId="0" fontId="1" fillId="2" borderId="0" xfId="0" applyFont="1" applyFill="1" applyBorder="1" applyProtection="1"/>
    <xf numFmtId="0" fontId="1" fillId="2" borderId="0" xfId="0" applyFont="1" applyFill="1" applyProtection="1"/>
    <xf numFmtId="0" fontId="3" fillId="2" borderId="0" xfId="0" applyFont="1" applyFill="1" applyProtection="1"/>
    <xf numFmtId="165" fontId="1" fillId="4" borderId="82" xfId="1" applyNumberFormat="1" applyFont="1" applyFill="1" applyBorder="1" applyAlignment="1" applyProtection="1">
      <alignment vertical="top" wrapText="1"/>
      <protection locked="0"/>
    </xf>
    <xf numFmtId="0" fontId="3" fillId="3" borderId="10" xfId="0" applyFont="1" applyFill="1" applyBorder="1"/>
    <xf numFmtId="0" fontId="1" fillId="3" borderId="83" xfId="0" applyFont="1" applyFill="1" applyBorder="1"/>
    <xf numFmtId="0" fontId="1" fillId="3" borderId="84" xfId="0" applyFont="1" applyFill="1" applyBorder="1"/>
    <xf numFmtId="0" fontId="1" fillId="3" borderId="45" xfId="0" applyFont="1" applyFill="1" applyBorder="1"/>
    <xf numFmtId="0" fontId="3" fillId="3" borderId="10" xfId="0" applyFont="1" applyFill="1" applyBorder="1" applyAlignment="1">
      <alignment horizontal="left"/>
    </xf>
    <xf numFmtId="0" fontId="1" fillId="3" borderId="10" xfId="0" applyFont="1" applyFill="1" applyBorder="1"/>
    <xf numFmtId="0" fontId="1" fillId="3" borderId="52" xfId="0" applyFont="1" applyFill="1" applyBorder="1"/>
    <xf numFmtId="0" fontId="1" fillId="3" borderId="44" xfId="0" applyFont="1" applyFill="1" applyBorder="1"/>
    <xf numFmtId="0" fontId="3" fillId="0" borderId="2" xfId="0" applyFont="1" applyBorder="1" applyAlignment="1" applyProtection="1">
      <alignment vertical="center" wrapText="1"/>
      <protection hidden="1"/>
    </xf>
    <xf numFmtId="0" fontId="3" fillId="0" borderId="19" xfId="0" applyFont="1" applyFill="1" applyBorder="1" applyAlignment="1" applyProtection="1">
      <alignment horizontal="center" vertical="center" wrapText="1"/>
      <protection hidden="1"/>
    </xf>
    <xf numFmtId="3" fontId="0" fillId="0" borderId="19" xfId="0" applyNumberFormat="1" applyFill="1" applyBorder="1" applyProtection="1">
      <protection hidden="1"/>
    </xf>
    <xf numFmtId="0" fontId="59" fillId="0" borderId="0" xfId="0" applyFont="1"/>
    <xf numFmtId="0" fontId="1" fillId="2" borderId="0" xfId="0" applyFont="1" applyFill="1" applyBorder="1" applyAlignment="1" applyProtection="1">
      <protection hidden="1"/>
    </xf>
    <xf numFmtId="0" fontId="0" fillId="0" borderId="19" xfId="0" applyFill="1" applyBorder="1" applyAlignment="1" applyProtection="1">
      <alignment horizontal="center" vertical="center"/>
      <protection hidden="1"/>
    </xf>
    <xf numFmtId="0" fontId="1" fillId="2" borderId="5" xfId="0" applyFont="1" applyFill="1" applyBorder="1" applyAlignment="1" applyProtection="1">
      <alignment horizontal="center" vertical="center" wrapText="1"/>
      <protection hidden="1"/>
    </xf>
    <xf numFmtId="0" fontId="2" fillId="3" borderId="10" xfId="0" applyFont="1" applyFill="1" applyBorder="1"/>
    <xf numFmtId="3" fontId="60" fillId="0" borderId="0" xfId="0" applyNumberFormat="1" applyFont="1"/>
    <xf numFmtId="0" fontId="60" fillId="0" borderId="0" xfId="0" applyFont="1" applyAlignment="1">
      <alignment horizontal="center"/>
    </xf>
    <xf numFmtId="3" fontId="1" fillId="0" borderId="36" xfId="0" applyNumberFormat="1" applyFont="1" applyFill="1" applyBorder="1" applyAlignment="1" applyProtection="1">
      <alignment horizontal="left" vertical="center"/>
    </xf>
    <xf numFmtId="3" fontId="16" fillId="0" borderId="2" xfId="0" applyNumberFormat="1" applyFont="1" applyFill="1" applyBorder="1" applyAlignment="1" applyProtection="1">
      <alignment horizontal="left" vertical="center"/>
    </xf>
    <xf numFmtId="3" fontId="16" fillId="0" borderId="13" xfId="0" applyNumberFormat="1" applyFont="1" applyFill="1" applyBorder="1" applyAlignment="1" applyProtection="1">
      <alignment horizontal="center" vertical="center"/>
      <protection hidden="1"/>
    </xf>
    <xf numFmtId="3" fontId="3" fillId="0" borderId="2" xfId="0" applyNumberFormat="1" applyFont="1" applyFill="1" applyBorder="1" applyAlignment="1" applyProtection="1">
      <alignment horizontal="left" vertical="center" wrapText="1"/>
    </xf>
    <xf numFmtId="0" fontId="1" fillId="4" borderId="19"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hidden="1"/>
    </xf>
    <xf numFmtId="3" fontId="1" fillId="4" borderId="29" xfId="0" applyNumberFormat="1" applyFont="1" applyFill="1" applyBorder="1" applyAlignment="1" applyProtection="1">
      <alignment horizontal="right"/>
      <protection locked="0"/>
    </xf>
    <xf numFmtId="0" fontId="0" fillId="5" borderId="19" xfId="0" applyFill="1" applyBorder="1" applyAlignment="1" applyProtection="1">
      <alignment horizontal="center"/>
      <protection locked="0"/>
    </xf>
    <xf numFmtId="0" fontId="1" fillId="2" borderId="0" xfId="0" applyFont="1" applyFill="1" applyBorder="1" applyAlignment="1" applyProtection="1">
      <alignment horizontal="right" indent="1"/>
      <protection hidden="1"/>
    </xf>
    <xf numFmtId="0" fontId="1" fillId="0" borderId="11" xfId="0" applyFont="1" applyFill="1" applyBorder="1" applyAlignment="1">
      <alignment horizontal="right" vertical="center" wrapText="1" indent="2"/>
    </xf>
    <xf numFmtId="0" fontId="0" fillId="0" borderId="12" xfId="0" applyFill="1" applyBorder="1" applyAlignment="1">
      <alignment horizontal="right" vertical="center" wrapText="1" indent="2"/>
    </xf>
    <xf numFmtId="10" fontId="16" fillId="0" borderId="9" xfId="0" applyNumberFormat="1" applyFont="1" applyFill="1" applyBorder="1" applyAlignment="1">
      <alignment horizontal="center" vertical="center"/>
    </xf>
    <xf numFmtId="0" fontId="3" fillId="0" borderId="0" xfId="0" applyFont="1" applyAlignment="1">
      <alignment vertical="top"/>
    </xf>
    <xf numFmtId="0" fontId="0" fillId="0" borderId="0" xfId="0" applyAlignment="1">
      <alignment vertical="top"/>
    </xf>
    <xf numFmtId="0" fontId="1" fillId="0" borderId="0" xfId="0" applyFont="1" applyAlignment="1">
      <alignment vertical="top"/>
    </xf>
    <xf numFmtId="2" fontId="45" fillId="3" borderId="10" xfId="0" applyNumberFormat="1" applyFont="1" applyFill="1" applyBorder="1" applyAlignment="1" applyProtection="1">
      <alignment horizontal="center" vertical="center"/>
      <protection hidden="1"/>
    </xf>
    <xf numFmtId="2" fontId="45" fillId="3" borderId="0" xfId="0" applyNumberFormat="1" applyFont="1" applyFill="1" applyBorder="1" applyAlignment="1" applyProtection="1">
      <alignment horizontal="center" vertical="center"/>
      <protection hidden="1"/>
    </xf>
    <xf numFmtId="2" fontId="45" fillId="3" borderId="23" xfId="0" applyNumberFormat="1" applyFont="1" applyFill="1" applyBorder="1" applyAlignment="1" applyProtection="1">
      <alignment horizontal="center" vertical="center"/>
      <protection hidden="1"/>
    </xf>
    <xf numFmtId="0" fontId="0" fillId="0" borderId="19" xfId="0" applyFill="1" applyBorder="1" applyAlignment="1" applyProtection="1">
      <alignment horizontal="center"/>
      <protection hidden="1"/>
    </xf>
    <xf numFmtId="0" fontId="4" fillId="2" borderId="0" xfId="0" applyFont="1" applyFill="1" applyBorder="1" applyAlignment="1" applyProtection="1">
      <alignment horizontal="center"/>
      <protection hidden="1"/>
    </xf>
    <xf numFmtId="0" fontId="0" fillId="2" borderId="0" xfId="0" applyFill="1" applyBorder="1" applyAlignment="1" applyProtection="1">
      <protection hidden="1"/>
    </xf>
    <xf numFmtId="0" fontId="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14" fontId="1" fillId="0" borderId="0" xfId="0" quotePrefix="1" applyNumberFormat="1" applyFont="1" applyAlignment="1">
      <alignment horizontal="center"/>
    </xf>
    <xf numFmtId="2" fontId="1" fillId="0" borderId="29" xfId="0" applyNumberFormat="1" applyFont="1" applyFill="1" applyBorder="1" applyAlignment="1" applyProtection="1">
      <alignment horizontal="center"/>
      <protection hidden="1"/>
    </xf>
    <xf numFmtId="0" fontId="0" fillId="2" borderId="0" xfId="0" applyFill="1" applyBorder="1" applyAlignment="1" applyProtection="1">
      <alignment wrapText="1"/>
      <protection hidden="1"/>
    </xf>
    <xf numFmtId="0" fontId="0" fillId="2" borderId="5" xfId="0" applyFill="1" applyBorder="1" applyAlignment="1" applyProtection="1">
      <alignment wrapText="1"/>
      <protection hidden="1"/>
    </xf>
    <xf numFmtId="0" fontId="16" fillId="0" borderId="0" xfId="0" applyFont="1" applyFill="1" applyBorder="1" applyAlignment="1" applyProtection="1">
      <alignment vertical="center" shrinkToFit="1"/>
      <protection hidden="1"/>
    </xf>
    <xf numFmtId="0" fontId="3" fillId="0" borderId="19" xfId="0" applyFont="1" applyFill="1" applyBorder="1" applyAlignment="1" applyProtection="1">
      <alignment horizontal="center" vertical="center"/>
      <protection hidden="1"/>
    </xf>
    <xf numFmtId="0" fontId="3" fillId="0" borderId="81" xfId="0" applyFont="1" applyFill="1" applyBorder="1" applyAlignment="1" applyProtection="1">
      <alignment horizontal="center" vertical="center"/>
      <protection hidden="1"/>
    </xf>
    <xf numFmtId="2" fontId="0" fillId="0" borderId="19" xfId="0" applyNumberFormat="1" applyFill="1" applyBorder="1" applyAlignment="1" applyProtection="1">
      <alignment horizontal="center"/>
      <protection hidden="1"/>
    </xf>
    <xf numFmtId="3" fontId="0" fillId="0" borderId="0" xfId="0" applyNumberFormat="1" applyFill="1" applyAlignment="1" applyProtection="1">
      <alignment vertical="center"/>
      <protection hidden="1"/>
    </xf>
    <xf numFmtId="0" fontId="53" fillId="2" borderId="0" xfId="0" quotePrefix="1" applyFont="1" applyFill="1" applyBorder="1" applyAlignment="1" applyProtection="1">
      <alignment vertical="center"/>
      <protection hidden="1"/>
    </xf>
    <xf numFmtId="0" fontId="53" fillId="2" borderId="0" xfId="0" applyFont="1" applyFill="1" applyBorder="1" applyAlignment="1" applyProtection="1">
      <alignment vertical="center"/>
      <protection hidden="1"/>
    </xf>
    <xf numFmtId="166" fontId="1" fillId="0" borderId="19" xfId="0" applyNumberFormat="1" applyFont="1" applyFill="1" applyBorder="1" applyAlignment="1" applyProtection="1">
      <alignment horizontal="center" vertical="center"/>
      <protection locked="0" hidden="1"/>
    </xf>
    <xf numFmtId="0" fontId="0" fillId="2" borderId="5" xfId="0" applyFill="1" applyBorder="1" applyAlignment="1" applyProtection="1">
      <alignment vertical="center"/>
      <protection hidden="1"/>
    </xf>
    <xf numFmtId="0" fontId="5" fillId="0" borderId="0" xfId="0" applyFont="1" applyFill="1" applyAlignment="1" applyProtection="1">
      <alignment horizontal="center" vertical="center"/>
      <protection hidden="1"/>
    </xf>
    <xf numFmtId="8" fontId="1" fillId="2" borderId="0" xfId="0"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center"/>
      <protection hidden="1"/>
    </xf>
    <xf numFmtId="0" fontId="0" fillId="2" borderId="0" xfId="0" applyFill="1" applyBorder="1" applyAlignment="1" applyProtection="1">
      <protection hidden="1"/>
    </xf>
    <xf numFmtId="0" fontId="64" fillId="2" borderId="0" xfId="0" applyFont="1" applyFill="1" applyProtection="1">
      <protection hidden="1"/>
    </xf>
    <xf numFmtId="0" fontId="3" fillId="2" borderId="0" xfId="0" applyFont="1" applyFill="1" applyAlignment="1" applyProtection="1">
      <alignment horizontal="right" vertical="center"/>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horizontal="right" vertical="center" indent="1"/>
      <protection hidden="1"/>
    </xf>
    <xf numFmtId="0" fontId="3" fillId="2" borderId="0" xfId="0" applyFont="1" applyFill="1" applyAlignment="1" applyProtection="1">
      <alignment wrapText="1"/>
      <protection hidden="1"/>
    </xf>
    <xf numFmtId="0" fontId="1" fillId="2" borderId="0" xfId="0" applyFont="1" applyFill="1" applyBorder="1" applyAlignment="1" applyProtection="1">
      <alignment vertical="center"/>
      <protection hidden="1"/>
    </xf>
    <xf numFmtId="0" fontId="1" fillId="0" borderId="0" xfId="0" applyFont="1" applyFill="1" applyAlignment="1" applyProtection="1">
      <alignment vertical="center"/>
      <protection hidden="1"/>
    </xf>
    <xf numFmtId="3" fontId="4" fillId="0" borderId="16" xfId="0" applyNumberFormat="1" applyFont="1" applyFill="1" applyBorder="1" applyAlignment="1" applyProtection="1">
      <alignment horizontal="center" vertical="center"/>
      <protection hidden="1"/>
    </xf>
    <xf numFmtId="3" fontId="4" fillId="5" borderId="19" xfId="0" applyNumberFormat="1" applyFont="1" applyFill="1" applyBorder="1" applyAlignment="1" applyProtection="1">
      <alignment horizontal="center" vertical="center"/>
      <protection locked="0"/>
    </xf>
    <xf numFmtId="3" fontId="3" fillId="0" borderId="29" xfId="0" applyNumberFormat="1" applyFont="1" applyFill="1" applyBorder="1" applyAlignment="1" applyProtection="1">
      <alignment horizontal="right" indent="1"/>
      <protection hidden="1"/>
    </xf>
    <xf numFmtId="3" fontId="1" fillId="0" borderId="31" xfId="0" applyNumberFormat="1" applyFont="1" applyFill="1" applyBorder="1" applyAlignment="1" applyProtection="1">
      <alignment horizontal="right" indent="1"/>
      <protection hidden="1"/>
    </xf>
    <xf numFmtId="0" fontId="59" fillId="0" borderId="0" xfId="0" applyFont="1" applyAlignment="1">
      <alignment horizontal="center"/>
    </xf>
    <xf numFmtId="165" fontId="1" fillId="3" borderId="36" xfId="1" applyNumberFormat="1" applyFont="1" applyFill="1" applyBorder="1" applyProtection="1"/>
    <xf numFmtId="166" fontId="0" fillId="7" borderId="36" xfId="0" applyNumberFormat="1" applyFill="1" applyBorder="1" applyProtection="1">
      <protection hidden="1"/>
    </xf>
    <xf numFmtId="168" fontId="0" fillId="7" borderId="19" xfId="0" applyNumberFormat="1" applyFill="1" applyBorder="1" applyProtection="1">
      <protection hidden="1"/>
    </xf>
    <xf numFmtId="3" fontId="4" fillId="7" borderId="68" xfId="0" applyNumberFormat="1" applyFont="1" applyFill="1" applyBorder="1" applyProtection="1">
      <protection hidden="1"/>
    </xf>
    <xf numFmtId="0" fontId="1" fillId="0" borderId="19" xfId="0" applyFont="1" applyFill="1" applyBorder="1" applyAlignment="1" applyProtection="1">
      <alignment horizontal="center"/>
      <protection hidden="1"/>
    </xf>
    <xf numFmtId="0" fontId="0" fillId="0" borderId="19" xfId="0" applyFill="1" applyBorder="1" applyAlignment="1" applyProtection="1">
      <alignment horizontal="center"/>
      <protection hidden="1"/>
    </xf>
    <xf numFmtId="0" fontId="3" fillId="0" borderId="13" xfId="0" applyFont="1" applyBorder="1" applyAlignment="1" applyProtection="1">
      <alignment horizontal="center" vertical="center" wrapText="1"/>
      <protection hidden="1"/>
    </xf>
    <xf numFmtId="0" fontId="3" fillId="3" borderId="10" xfId="0" applyFont="1" applyFill="1" applyBorder="1" applyAlignment="1">
      <alignment horizontal="left" vertical="center" wrapText="1"/>
    </xf>
    <xf numFmtId="3" fontId="4" fillId="0" borderId="51" xfId="0" applyNumberFormat="1" applyFont="1" applyBorder="1" applyAlignment="1" applyProtection="1">
      <alignment horizontal="center"/>
      <protection hidden="1"/>
    </xf>
    <xf numFmtId="0" fontId="3" fillId="0" borderId="4" xfId="0" applyFont="1" applyBorder="1" applyAlignment="1" applyProtection="1">
      <alignment horizontal="center" vertical="center" wrapText="1"/>
      <protection hidden="1"/>
    </xf>
    <xf numFmtId="0" fontId="1" fillId="2" borderId="0" xfId="0" applyFont="1" applyFill="1" applyBorder="1" applyAlignment="1" applyProtection="1">
      <alignment horizontal="right"/>
      <protection hidden="1"/>
    </xf>
    <xf numFmtId="4" fontId="0" fillId="0" borderId="19" xfId="0" applyNumberFormat="1" applyFill="1" applyBorder="1" applyAlignment="1" applyProtection="1">
      <alignment horizontal="center" vertical="center"/>
      <protection hidden="1"/>
    </xf>
    <xf numFmtId="4" fontId="0" fillId="2" borderId="0" xfId="0" applyNumberFormat="1" applyFill="1" applyBorder="1" applyAlignment="1" applyProtection="1">
      <alignment horizontal="center"/>
      <protection hidden="1"/>
    </xf>
    <xf numFmtId="4" fontId="0" fillId="0" borderId="19" xfId="0" applyNumberFormat="1" applyFill="1" applyBorder="1" applyAlignment="1" applyProtection="1">
      <alignment horizontal="center"/>
      <protection hidden="1"/>
    </xf>
    <xf numFmtId="0" fontId="3" fillId="2" borderId="0" xfId="0" applyFont="1" applyFill="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0" xfId="0" applyFont="1" applyFill="1" applyAlignment="1" applyProtection="1">
      <alignment horizontal="left" vertical="center"/>
      <protection hidden="1"/>
    </xf>
    <xf numFmtId="0" fontId="1" fillId="0" borderId="0" xfId="0" applyFont="1" applyFill="1" applyAlignment="1" applyProtection="1">
      <protection hidden="1"/>
    </xf>
    <xf numFmtId="0" fontId="0" fillId="2" borderId="0" xfId="0" applyFill="1" applyAlignment="1" applyProtection="1">
      <alignment vertical="top"/>
      <protection hidden="1"/>
    </xf>
    <xf numFmtId="0" fontId="33" fillId="2" borderId="0" xfId="0" applyFont="1" applyFill="1" applyAlignment="1" applyProtection="1">
      <alignment vertical="top"/>
      <protection hidden="1"/>
    </xf>
    <xf numFmtId="0" fontId="33" fillId="2" borderId="0" xfId="0" applyFont="1" applyFill="1" applyAlignment="1" applyProtection="1">
      <alignment horizontal="left" vertical="top"/>
      <protection hidden="1"/>
    </xf>
    <xf numFmtId="0" fontId="3" fillId="2" borderId="0" xfId="0" applyFont="1" applyFill="1" applyAlignment="1" applyProtection="1">
      <alignment horizontal="left" vertical="top" wrapText="1"/>
      <protection hidden="1"/>
    </xf>
    <xf numFmtId="0" fontId="3" fillId="2" borderId="0" xfId="0" applyFont="1" applyFill="1" applyBorder="1" applyAlignment="1" applyProtection="1">
      <alignment horizontal="left" vertical="top" wrapText="1"/>
      <protection hidden="1"/>
    </xf>
    <xf numFmtId="0" fontId="0" fillId="0" borderId="0" xfId="0" applyFill="1" applyAlignment="1" applyProtection="1">
      <alignment vertical="top"/>
      <protection hidden="1"/>
    </xf>
    <xf numFmtId="0" fontId="1" fillId="2" borderId="0" xfId="0" applyFont="1" applyFill="1" applyAlignment="1" applyProtection="1">
      <alignment horizontal="left" vertical="center"/>
      <protection hidden="1"/>
    </xf>
    <xf numFmtId="3" fontId="3" fillId="0" borderId="16" xfId="0" applyNumberFormat="1" applyFont="1" applyFill="1" applyBorder="1" applyAlignment="1" applyProtection="1">
      <alignment horizontal="right" indent="1"/>
      <protection hidden="1"/>
    </xf>
    <xf numFmtId="0" fontId="16" fillId="2" borderId="0" xfId="0" applyFont="1" applyFill="1" applyAlignment="1" applyProtection="1">
      <alignment horizontal="left" vertical="center"/>
      <protection hidden="1"/>
    </xf>
    <xf numFmtId="3" fontId="23" fillId="0" borderId="16" xfId="0" applyNumberFormat="1" applyFont="1" applyFill="1" applyBorder="1" applyAlignment="1" applyProtection="1">
      <alignment horizontal="right" indent="1"/>
      <protection hidden="1"/>
    </xf>
    <xf numFmtId="3" fontId="3" fillId="0" borderId="19" xfId="0" applyNumberFormat="1" applyFont="1" applyFill="1" applyBorder="1" applyAlignment="1" applyProtection="1">
      <alignment vertical="center"/>
      <protection hidden="1"/>
    </xf>
    <xf numFmtId="0" fontId="1" fillId="2" borderId="0" xfId="0" applyFont="1" applyFill="1" applyAlignment="1" applyProtection="1">
      <alignment vertical="center" wrapText="1"/>
      <protection hidden="1"/>
    </xf>
    <xf numFmtId="0" fontId="1"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1" fillId="2" borderId="0" xfId="0" applyFont="1" applyFill="1" applyAlignment="1" applyProtection="1">
      <alignment horizontal="right" vertical="center"/>
      <protection hidden="1"/>
    </xf>
    <xf numFmtId="0" fontId="1" fillId="2" borderId="0" xfId="0" applyFont="1" applyFill="1" applyBorder="1" applyAlignment="1" applyProtection="1">
      <alignment horizontal="right" vertical="center" wrapText="1"/>
      <protection hidden="1"/>
    </xf>
    <xf numFmtId="3" fontId="0" fillId="5" borderId="19" xfId="0" applyNumberFormat="1" applyFill="1" applyBorder="1" applyProtection="1">
      <protection locked="0" hidden="1"/>
    </xf>
    <xf numFmtId="0" fontId="1" fillId="3" borderId="44" xfId="0" applyFont="1" applyFill="1" applyBorder="1" applyAlignment="1">
      <alignment horizontal="left"/>
    </xf>
    <xf numFmtId="0" fontId="1" fillId="3" borderId="50" xfId="0" applyFont="1" applyFill="1" applyBorder="1" applyAlignment="1">
      <alignment horizontal="left"/>
    </xf>
    <xf numFmtId="0" fontId="1" fillId="3" borderId="47" xfId="0" applyFont="1" applyFill="1" applyBorder="1" applyAlignment="1">
      <alignment horizontal="left"/>
    </xf>
    <xf numFmtId="0" fontId="1" fillId="3" borderId="53" xfId="0" applyFont="1" applyFill="1" applyBorder="1" applyAlignment="1">
      <alignment horizontal="left"/>
    </xf>
    <xf numFmtId="0" fontId="1" fillId="3" borderId="54" xfId="0" applyFont="1" applyFill="1" applyBorder="1" applyAlignment="1">
      <alignment horizontal="left"/>
    </xf>
    <xf numFmtId="0" fontId="1" fillId="3" borderId="0" xfId="0" applyFont="1" applyFill="1" applyBorder="1"/>
    <xf numFmtId="0" fontId="1" fillId="3" borderId="48" xfId="0" applyFont="1" applyFill="1" applyBorder="1"/>
    <xf numFmtId="3" fontId="1" fillId="3" borderId="23" xfId="0" applyNumberFormat="1" applyFont="1" applyFill="1" applyBorder="1"/>
    <xf numFmtId="0" fontId="1" fillId="3" borderId="42" xfId="0" applyFont="1" applyFill="1" applyBorder="1"/>
    <xf numFmtId="0" fontId="1" fillId="3" borderId="43" xfId="0" applyFont="1" applyFill="1" applyBorder="1"/>
    <xf numFmtId="3" fontId="1" fillId="3" borderId="61" xfId="0" applyNumberFormat="1" applyFont="1" applyFill="1" applyBorder="1"/>
    <xf numFmtId="3" fontId="1" fillId="3" borderId="57" xfId="0" applyNumberFormat="1" applyFont="1" applyFill="1" applyBorder="1"/>
    <xf numFmtId="0" fontId="3" fillId="3" borderId="10" xfId="0" applyFont="1" applyFill="1" applyBorder="1" applyAlignment="1">
      <alignment horizontal="right"/>
    </xf>
    <xf numFmtId="0" fontId="3" fillId="3" borderId="0" xfId="0" applyFont="1" applyFill="1" applyBorder="1" applyAlignment="1">
      <alignment horizontal="right"/>
    </xf>
    <xf numFmtId="3" fontId="3" fillId="3" borderId="58" xfId="0" applyNumberFormat="1" applyFont="1" applyFill="1" applyBorder="1"/>
    <xf numFmtId="0" fontId="3" fillId="3" borderId="44" xfId="0" applyFont="1" applyFill="1" applyBorder="1"/>
    <xf numFmtId="0" fontId="1" fillId="3" borderId="41" xfId="0" applyFont="1" applyFill="1" applyBorder="1"/>
    <xf numFmtId="3" fontId="1" fillId="3" borderId="64" xfId="0" applyNumberFormat="1" applyFont="1" applyFill="1" applyBorder="1"/>
    <xf numFmtId="0" fontId="3" fillId="3" borderId="49" xfId="0" applyFont="1" applyFill="1" applyBorder="1" applyAlignment="1">
      <alignment horizontal="right"/>
    </xf>
    <xf numFmtId="3" fontId="3" fillId="3" borderId="23" xfId="0" applyNumberFormat="1" applyFont="1" applyFill="1" applyBorder="1"/>
    <xf numFmtId="0" fontId="1" fillId="3" borderId="10" xfId="0" applyFont="1" applyFill="1" applyBorder="1" applyAlignment="1">
      <alignment horizontal="right" vertical="center" wrapText="1"/>
    </xf>
    <xf numFmtId="0" fontId="1" fillId="3" borderId="0" xfId="0" applyFont="1" applyFill="1" applyBorder="1" applyAlignment="1">
      <alignment horizontal="right" vertical="center" wrapText="1"/>
    </xf>
    <xf numFmtId="3" fontId="1" fillId="3" borderId="19" xfId="0" applyNumberFormat="1" applyFont="1" applyFill="1" applyBorder="1"/>
    <xf numFmtId="0" fontId="1" fillId="3" borderId="23" xfId="0" applyFont="1" applyFill="1" applyBorder="1"/>
    <xf numFmtId="0" fontId="3" fillId="3" borderId="0" xfId="0" applyFont="1" applyFill="1" applyBorder="1" applyAlignment="1">
      <alignment horizontal="left" vertical="center" wrapText="1"/>
    </xf>
    <xf numFmtId="0" fontId="3" fillId="3" borderId="23" xfId="0" applyFont="1" applyFill="1" applyBorder="1" applyAlignment="1">
      <alignment horizontal="center"/>
    </xf>
    <xf numFmtId="0" fontId="1" fillId="3" borderId="41" xfId="0" applyFont="1" applyFill="1" applyBorder="1" applyAlignment="1">
      <alignment horizontal="left"/>
    </xf>
    <xf numFmtId="0" fontId="1" fillId="3" borderId="46" xfId="0" applyFont="1" applyFill="1" applyBorder="1"/>
    <xf numFmtId="3" fontId="1" fillId="3" borderId="60" xfId="0" applyNumberFormat="1" applyFont="1" applyFill="1" applyBorder="1"/>
    <xf numFmtId="0" fontId="1" fillId="3" borderId="42" xfId="0" applyFont="1" applyFill="1" applyBorder="1" applyAlignment="1">
      <alignment horizontal="left"/>
    </xf>
    <xf numFmtId="0" fontId="1" fillId="3" borderId="42" xfId="0" applyFont="1" applyFill="1" applyBorder="1" applyAlignment="1">
      <alignment horizontal="left" indent="3"/>
    </xf>
    <xf numFmtId="3" fontId="1" fillId="3" borderId="66" xfId="0" applyNumberFormat="1" applyFont="1" applyFill="1" applyBorder="1"/>
    <xf numFmtId="3" fontId="1" fillId="3" borderId="67" xfId="0" applyNumberFormat="1" applyFont="1" applyFill="1" applyBorder="1"/>
    <xf numFmtId="0" fontId="1" fillId="3" borderId="0" xfId="0" applyFont="1" applyFill="1" applyBorder="1" applyAlignment="1">
      <alignment horizontal="left" indent="3"/>
    </xf>
    <xf numFmtId="0" fontId="1" fillId="3" borderId="41" xfId="0" applyFont="1" applyFill="1" applyBorder="1" applyAlignment="1">
      <alignment horizontal="left" indent="3"/>
    </xf>
    <xf numFmtId="0" fontId="1" fillId="3" borderId="11" xfId="0" applyFont="1" applyFill="1" applyBorder="1"/>
    <xf numFmtId="0" fontId="1" fillId="3" borderId="12" xfId="0" applyFont="1" applyFill="1" applyBorder="1"/>
    <xf numFmtId="3" fontId="3" fillId="3" borderId="59" xfId="0" applyNumberFormat="1" applyFont="1" applyFill="1" applyBorder="1"/>
    <xf numFmtId="3" fontId="3" fillId="3" borderId="60" xfId="0" applyNumberFormat="1" applyFont="1" applyFill="1" applyBorder="1"/>
    <xf numFmtId="3" fontId="1" fillId="0" borderId="23" xfId="0" applyNumberFormat="1" applyFont="1" applyFill="1" applyBorder="1"/>
    <xf numFmtId="0" fontId="1" fillId="0" borderId="23" xfId="0" applyFont="1" applyFill="1" applyBorder="1"/>
    <xf numFmtId="0" fontId="1" fillId="0" borderId="0" xfId="0" applyFont="1" applyFill="1" applyBorder="1" applyAlignment="1">
      <alignment horizontal="right" indent="2"/>
    </xf>
    <xf numFmtId="0" fontId="1" fillId="3" borderId="94" xfId="0" applyFont="1" applyFill="1" applyBorder="1"/>
    <xf numFmtId="3" fontId="3" fillId="0" borderId="60" xfId="0" applyNumberFormat="1" applyFont="1" applyFill="1" applyBorder="1"/>
    <xf numFmtId="0" fontId="1" fillId="3" borderId="49" xfId="0" applyFont="1" applyFill="1" applyBorder="1"/>
    <xf numFmtId="0" fontId="1" fillId="0" borderId="95" xfId="0" applyFont="1" applyFill="1" applyBorder="1"/>
    <xf numFmtId="3" fontId="1" fillId="3" borderId="96" xfId="0" applyNumberFormat="1" applyFont="1" applyFill="1" applyBorder="1"/>
    <xf numFmtId="0" fontId="1" fillId="3" borderId="0" xfId="0" quotePrefix="1" applyFont="1" applyFill="1" applyBorder="1"/>
    <xf numFmtId="3" fontId="1" fillId="3" borderId="93" xfId="0" applyNumberFormat="1" applyFont="1" applyFill="1" applyBorder="1"/>
    <xf numFmtId="3" fontId="1" fillId="3" borderId="0" xfId="0" applyNumberFormat="1" applyFont="1" applyFill="1" applyBorder="1"/>
    <xf numFmtId="3" fontId="3" fillId="3" borderId="23" xfId="0" applyNumberFormat="1" applyFont="1" applyFill="1" applyBorder="1" applyAlignment="1">
      <alignment vertical="center"/>
    </xf>
    <xf numFmtId="0" fontId="3" fillId="3" borderId="0" xfId="0" applyFont="1" applyFill="1" applyBorder="1" applyAlignment="1">
      <alignment horizontal="left"/>
    </xf>
    <xf numFmtId="0" fontId="3" fillId="3" borderId="0" xfId="0" applyFont="1" applyFill="1" applyBorder="1" applyAlignment="1">
      <alignment horizontal="center"/>
    </xf>
    <xf numFmtId="3" fontId="1" fillId="3" borderId="46" xfId="0" applyNumberFormat="1" applyFont="1" applyFill="1" applyBorder="1"/>
    <xf numFmtId="0" fontId="3" fillId="3" borderId="23" xfId="0" applyFont="1" applyFill="1" applyBorder="1"/>
    <xf numFmtId="3" fontId="3" fillId="3" borderId="57" xfId="0" applyNumberFormat="1" applyFont="1" applyFill="1" applyBorder="1"/>
    <xf numFmtId="3" fontId="1" fillId="3" borderId="49" xfId="0" applyNumberFormat="1" applyFont="1" applyFill="1" applyBorder="1"/>
    <xf numFmtId="3" fontId="1" fillId="3" borderId="58" xfId="0" applyNumberFormat="1" applyFont="1" applyFill="1" applyBorder="1"/>
    <xf numFmtId="3" fontId="1" fillId="3" borderId="43" xfId="0" applyNumberFormat="1" applyFont="1" applyFill="1" applyBorder="1"/>
    <xf numFmtId="0" fontId="1" fillId="3" borderId="0" xfId="0" applyFont="1" applyFill="1"/>
    <xf numFmtId="0" fontId="3" fillId="3" borderId="0" xfId="0" applyFont="1" applyFill="1" applyBorder="1"/>
    <xf numFmtId="0" fontId="3" fillId="3" borderId="11" xfId="0" applyFont="1" applyFill="1" applyBorder="1"/>
    <xf numFmtId="0" fontId="3" fillId="3" borderId="12" xfId="0" applyFont="1" applyFill="1" applyBorder="1"/>
    <xf numFmtId="3" fontId="3" fillId="3" borderId="9" xfId="0" applyNumberFormat="1" applyFont="1" applyFill="1" applyBorder="1"/>
    <xf numFmtId="0" fontId="3" fillId="3" borderId="20" xfId="0" applyFont="1" applyFill="1" applyBorder="1"/>
    <xf numFmtId="0" fontId="3" fillId="3" borderId="21" xfId="0" applyFont="1" applyFill="1" applyBorder="1"/>
    <xf numFmtId="0" fontId="1" fillId="3" borderId="21" xfId="0" applyFont="1" applyFill="1" applyBorder="1"/>
    <xf numFmtId="3" fontId="3" fillId="3" borderId="22" xfId="0" applyNumberFormat="1" applyFont="1" applyFill="1" applyBorder="1" applyAlignment="1">
      <alignment horizontal="center"/>
    </xf>
    <xf numFmtId="3" fontId="1" fillId="3" borderId="62" xfId="0" applyNumberFormat="1" applyFont="1" applyFill="1" applyBorder="1"/>
    <xf numFmtId="3" fontId="3" fillId="3" borderId="63" xfId="0" applyNumberFormat="1" applyFont="1" applyFill="1" applyBorder="1"/>
    <xf numFmtId="3" fontId="3" fillId="3" borderId="65" xfId="0" applyNumberFormat="1" applyFont="1" applyFill="1" applyBorder="1"/>
    <xf numFmtId="0" fontId="1" fillId="3" borderId="22" xfId="0" applyFont="1" applyFill="1" applyBorder="1"/>
    <xf numFmtId="0" fontId="3" fillId="3" borderId="0" xfId="0" applyFont="1" applyFill="1" applyBorder="1" applyAlignment="1">
      <alignment wrapText="1"/>
    </xf>
    <xf numFmtId="0" fontId="3" fillId="4" borderId="19" xfId="0" applyFont="1" applyFill="1" applyBorder="1" applyAlignment="1" applyProtection="1">
      <alignment horizontal="center" vertical="center" wrapText="1"/>
      <protection locked="0"/>
    </xf>
    <xf numFmtId="0" fontId="1" fillId="3" borderId="19" xfId="0" applyFont="1" applyFill="1" applyBorder="1"/>
    <xf numFmtId="0" fontId="3" fillId="3" borderId="23" xfId="0" applyFont="1" applyFill="1" applyBorder="1" applyAlignment="1">
      <alignment wrapText="1"/>
    </xf>
    <xf numFmtId="0" fontId="3" fillId="3" borderId="10" xfId="0" applyFont="1" applyFill="1" applyBorder="1" applyAlignment="1">
      <alignment horizontal="right" vertical="center"/>
    </xf>
    <xf numFmtId="0" fontId="0" fillId="0" borderId="19" xfId="0" applyFill="1" applyBorder="1" applyAlignment="1" applyProtection="1">
      <alignment horizontal="center"/>
      <protection locked="0" hidden="1"/>
    </xf>
    <xf numFmtId="0" fontId="33" fillId="2" borderId="0" xfId="0" applyFont="1" applyFill="1" applyBorder="1" applyProtection="1">
      <protection hidden="1"/>
    </xf>
    <xf numFmtId="0" fontId="16" fillId="2" borderId="0" xfId="0" applyFont="1" applyFill="1" applyBorder="1" applyProtection="1">
      <protection hidden="1"/>
    </xf>
    <xf numFmtId="0" fontId="52" fillId="2" borderId="0" xfId="2" applyFont="1" applyFill="1" applyBorder="1" applyAlignment="1" applyProtection="1">
      <alignment horizontal="center" vertical="center"/>
      <protection hidden="1"/>
    </xf>
    <xf numFmtId="0" fontId="29" fillId="3" borderId="0" xfId="0" applyFont="1" applyFill="1" applyBorder="1" applyAlignment="1" applyProtection="1">
      <protection hidden="1"/>
    </xf>
    <xf numFmtId="0" fontId="29" fillId="2" borderId="0" xfId="0" applyFont="1" applyFill="1" applyBorder="1" applyAlignment="1" applyProtection="1">
      <protection hidden="1"/>
    </xf>
    <xf numFmtId="0" fontId="61" fillId="2" borderId="0" xfId="0" applyFont="1" applyFill="1" applyBorder="1" applyAlignment="1" applyProtection="1">
      <alignment vertical="top"/>
      <protection hidden="1"/>
    </xf>
    <xf numFmtId="0" fontId="35" fillId="3" borderId="0" xfId="0" applyFont="1" applyFill="1" applyBorder="1" applyAlignment="1" applyProtection="1">
      <alignment horizontal="center" vertical="top"/>
      <protection hidden="1"/>
    </xf>
    <xf numFmtId="0" fontId="29" fillId="3" borderId="0" xfId="0" applyFont="1" applyFill="1" applyBorder="1" applyAlignment="1" applyProtection="1">
      <alignment vertical="top" wrapText="1"/>
      <protection hidden="1"/>
    </xf>
    <xf numFmtId="0" fontId="29" fillId="2" borderId="0" xfId="0" applyFont="1" applyFill="1" applyBorder="1" applyProtection="1">
      <protection hidden="1"/>
    </xf>
    <xf numFmtId="0" fontId="29" fillId="3" borderId="0" xfId="0" applyFont="1" applyFill="1" applyBorder="1" applyProtection="1">
      <protection hidden="1"/>
    </xf>
    <xf numFmtId="0" fontId="25" fillId="3" borderId="0" xfId="0" applyFont="1" applyFill="1" applyBorder="1" applyAlignment="1" applyProtection="1">
      <alignment vertical="center" wrapText="1"/>
      <protection hidden="1"/>
    </xf>
    <xf numFmtId="0" fontId="25" fillId="2" borderId="0" xfId="0" applyFont="1" applyFill="1" applyBorder="1" applyAlignment="1" applyProtection="1">
      <alignment horizontal="right" vertical="top"/>
      <protection hidden="1"/>
    </xf>
    <xf numFmtId="0" fontId="35" fillId="3" borderId="0" xfId="0" applyFont="1" applyFill="1" applyBorder="1" applyAlignment="1" applyProtection="1">
      <alignment vertical="top" wrapText="1"/>
      <protection hidden="1"/>
    </xf>
    <xf numFmtId="0" fontId="25" fillId="2" borderId="0" xfId="0" applyFont="1" applyFill="1" applyBorder="1" applyAlignment="1" applyProtection="1">
      <alignment horizontal="left" vertical="top"/>
      <protection hidden="1"/>
    </xf>
    <xf numFmtId="0" fontId="25" fillId="2" borderId="0" xfId="0" applyFont="1" applyFill="1" applyBorder="1" applyAlignment="1" applyProtection="1">
      <alignment horizontal="left" vertical="top" wrapText="1"/>
      <protection hidden="1"/>
    </xf>
    <xf numFmtId="0" fontId="42" fillId="2" borderId="0" xfId="0" applyFont="1" applyFill="1" applyBorder="1" applyProtection="1">
      <protection hidden="1"/>
    </xf>
    <xf numFmtId="0" fontId="29" fillId="3" borderId="0" xfId="0" applyFont="1" applyFill="1" applyBorder="1" applyAlignment="1" applyProtection="1">
      <alignment horizontal="center" vertical="top"/>
      <protection hidden="1"/>
    </xf>
    <xf numFmtId="0" fontId="42" fillId="3" borderId="0" xfId="0" applyFont="1" applyFill="1" applyBorder="1" applyAlignment="1" applyProtection="1">
      <alignment vertical="top" wrapText="1"/>
      <protection hidden="1"/>
    </xf>
    <xf numFmtId="0" fontId="29" fillId="2" borderId="0" xfId="0" applyFont="1" applyFill="1" applyBorder="1" applyAlignment="1" applyProtection="1">
      <alignment vertical="top"/>
      <protection hidden="1"/>
    </xf>
    <xf numFmtId="0" fontId="25" fillId="2" borderId="0" xfId="0" applyFont="1" applyFill="1" applyBorder="1" applyAlignment="1" applyProtection="1">
      <alignment vertical="top"/>
      <protection hidden="1"/>
    </xf>
    <xf numFmtId="0" fontId="42" fillId="2" borderId="0" xfId="0" applyFont="1" applyFill="1" applyBorder="1" applyAlignment="1" applyProtection="1">
      <alignment vertical="top"/>
      <protection hidden="1"/>
    </xf>
    <xf numFmtId="0" fontId="25" fillId="3" borderId="0" xfId="0" applyFont="1" applyFill="1" applyBorder="1" applyAlignment="1" applyProtection="1">
      <alignment vertical="top" wrapText="1"/>
      <protection hidden="1"/>
    </xf>
    <xf numFmtId="0" fontId="23" fillId="3" borderId="0" xfId="0" applyFont="1" applyFill="1" applyBorder="1" applyAlignment="1" applyProtection="1">
      <alignment horizontal="center" vertical="top"/>
      <protection hidden="1"/>
    </xf>
    <xf numFmtId="0" fontId="23" fillId="3" borderId="0" xfId="0" applyFont="1" applyFill="1" applyBorder="1" applyAlignment="1" applyProtection="1">
      <alignment vertical="top" wrapText="1"/>
      <protection hidden="1"/>
    </xf>
    <xf numFmtId="0" fontId="36" fillId="3" borderId="0" xfId="0" applyFont="1" applyFill="1" applyBorder="1" applyAlignment="1" applyProtection="1">
      <alignment vertical="top" wrapText="1"/>
      <protection hidden="1"/>
    </xf>
    <xf numFmtId="0" fontId="43" fillId="3" borderId="0" xfId="0" applyFont="1" applyFill="1" applyBorder="1" applyAlignment="1" applyProtection="1">
      <alignment vertical="top" wrapText="1"/>
      <protection hidden="1"/>
    </xf>
    <xf numFmtId="0" fontId="38" fillId="3" borderId="0" xfId="0" applyFont="1" applyFill="1" applyBorder="1" applyAlignment="1" applyProtection="1">
      <alignment vertical="top" wrapText="1"/>
      <protection hidden="1"/>
    </xf>
    <xf numFmtId="0" fontId="66" fillId="3" borderId="0" xfId="2" applyFont="1" applyFill="1" applyBorder="1" applyAlignment="1" applyProtection="1">
      <alignment vertical="top" wrapText="1"/>
      <protection hidden="1"/>
    </xf>
    <xf numFmtId="0" fontId="29" fillId="2" borderId="0" xfId="0" applyFont="1" applyFill="1" applyBorder="1" applyAlignment="1" applyProtection="1">
      <alignment horizontal="center" vertical="top"/>
      <protection hidden="1"/>
    </xf>
    <xf numFmtId="0" fontId="29" fillId="2" borderId="0" xfId="0" applyFont="1" applyFill="1" applyBorder="1" applyAlignment="1" applyProtection="1">
      <alignment vertical="top" wrapText="1"/>
      <protection hidden="1"/>
    </xf>
    <xf numFmtId="168" fontId="0" fillId="5" borderId="19" xfId="0" applyNumberFormat="1" applyFill="1" applyBorder="1" applyAlignment="1" applyProtection="1">
      <protection locked="0"/>
    </xf>
    <xf numFmtId="168" fontId="1" fillId="5" borderId="19" xfId="0" applyNumberFormat="1" applyFont="1" applyFill="1" applyBorder="1" applyAlignment="1" applyProtection="1">
      <protection locked="0"/>
    </xf>
    <xf numFmtId="0" fontId="0" fillId="0" borderId="14" xfId="0" applyBorder="1" applyProtection="1">
      <protection hidden="1"/>
    </xf>
    <xf numFmtId="0" fontId="59" fillId="0" borderId="0" xfId="0" applyFont="1" applyAlignment="1">
      <alignment horizontal="center" vertical="top" wrapText="1"/>
    </xf>
    <xf numFmtId="4" fontId="60" fillId="0" borderId="0" xfId="0" applyNumberFormat="1" applyFont="1"/>
    <xf numFmtId="4" fontId="59" fillId="0" borderId="0" xfId="0" applyNumberFormat="1" applyFont="1"/>
    <xf numFmtId="3" fontId="4" fillId="0" borderId="71" xfId="0" applyNumberFormat="1" applyFont="1" applyBorder="1" applyAlignment="1" applyProtection="1">
      <alignment horizontal="center"/>
      <protection hidden="1"/>
    </xf>
    <xf numFmtId="0" fontId="3" fillId="0" borderId="18" xfId="0" applyFont="1" applyFill="1" applyBorder="1" applyAlignment="1" applyProtection="1">
      <alignment horizontal="center" vertical="center" wrapText="1"/>
      <protection hidden="1"/>
    </xf>
    <xf numFmtId="0" fontId="3" fillId="0" borderId="16" xfId="0" applyFont="1" applyFill="1" applyBorder="1" applyAlignment="1" applyProtection="1">
      <alignment horizontal="center" vertical="center" wrapText="1"/>
      <protection hidden="1"/>
    </xf>
    <xf numFmtId="0" fontId="1" fillId="0" borderId="100" xfId="0" applyFont="1" applyFill="1" applyBorder="1" applyAlignment="1" applyProtection="1">
      <alignment horizontal="center"/>
      <protection hidden="1"/>
    </xf>
    <xf numFmtId="0" fontId="1" fillId="0" borderId="101" xfId="0" applyFont="1" applyFill="1" applyBorder="1" applyAlignment="1" applyProtection="1">
      <alignment horizontal="center"/>
      <protection hidden="1"/>
    </xf>
    <xf numFmtId="3" fontId="3" fillId="0" borderId="85" xfId="0" applyNumberFormat="1" applyFont="1" applyFill="1" applyBorder="1" applyAlignment="1" applyProtection="1">
      <alignment horizontal="left" vertical="center"/>
    </xf>
    <xf numFmtId="3" fontId="3" fillId="0" borderId="87" xfId="0" applyNumberFormat="1" applyFont="1" applyFill="1" applyBorder="1" applyAlignment="1" applyProtection="1">
      <alignment horizontal="left" vertical="center"/>
    </xf>
    <xf numFmtId="3" fontId="3" fillId="0" borderId="87" xfId="0" applyNumberFormat="1" applyFont="1" applyFill="1" applyBorder="1" applyAlignment="1" applyProtection="1">
      <alignment horizontal="left" vertical="center" wrapText="1"/>
    </xf>
    <xf numFmtId="3" fontId="3" fillId="0" borderId="102" xfId="0" applyNumberFormat="1" applyFont="1" applyFill="1" applyBorder="1" applyAlignment="1" applyProtection="1">
      <alignment horizontal="left" vertical="center" wrapText="1"/>
    </xf>
    <xf numFmtId="3" fontId="1" fillId="5" borderId="31" xfId="0" applyNumberFormat="1" applyFont="1" applyFill="1" applyBorder="1" applyAlignment="1" applyProtection="1">
      <alignment horizontal="center" vertical="center"/>
      <protection locked="0"/>
    </xf>
    <xf numFmtId="2" fontId="0" fillId="0" borderId="19" xfId="0" applyNumberFormat="1" applyFill="1" applyBorder="1" applyAlignment="1" applyProtection="1">
      <alignment horizontal="center" vertical="center"/>
      <protection hidden="1"/>
    </xf>
    <xf numFmtId="3" fontId="1" fillId="0" borderId="19" xfId="0" applyNumberFormat="1" applyFont="1" applyFill="1" applyBorder="1" applyAlignment="1" applyProtection="1">
      <alignment horizontal="center" vertical="center"/>
    </xf>
    <xf numFmtId="3" fontId="1" fillId="5" borderId="19" xfId="0" applyNumberFormat="1" applyFont="1" applyFill="1" applyBorder="1" applyAlignment="1" applyProtection="1">
      <alignment horizontal="center" vertical="center"/>
      <protection locked="0"/>
    </xf>
    <xf numFmtId="3" fontId="1" fillId="0" borderId="14" xfId="0" applyNumberFormat="1" applyFont="1" applyFill="1" applyBorder="1" applyAlignment="1" applyProtection="1">
      <alignment vertical="center"/>
    </xf>
    <xf numFmtId="3" fontId="1" fillId="0" borderId="19" xfId="0" applyNumberFormat="1" applyFont="1" applyFill="1" applyBorder="1" applyAlignment="1" applyProtection="1">
      <alignment vertical="center"/>
    </xf>
    <xf numFmtId="3" fontId="1" fillId="0" borderId="14" xfId="0" applyNumberFormat="1" applyFont="1" applyFill="1" applyBorder="1" applyAlignment="1" applyProtection="1">
      <alignment vertical="center"/>
      <protection hidden="1"/>
    </xf>
    <xf numFmtId="3" fontId="1" fillId="0" borderId="19" xfId="0" applyNumberFormat="1" applyFont="1" applyFill="1" applyBorder="1" applyAlignment="1" applyProtection="1">
      <alignment vertical="center"/>
      <protection hidden="1"/>
    </xf>
    <xf numFmtId="3" fontId="67" fillId="0" borderId="14" xfId="0" applyNumberFormat="1" applyFont="1" applyFill="1" applyBorder="1" applyAlignment="1" applyProtection="1">
      <alignment vertical="center"/>
      <protection hidden="1"/>
    </xf>
    <xf numFmtId="3" fontId="67" fillId="0" borderId="19" xfId="0" applyNumberFormat="1" applyFont="1" applyFill="1" applyBorder="1" applyAlignment="1" applyProtection="1">
      <alignment vertical="center"/>
      <protection hidden="1"/>
    </xf>
    <xf numFmtId="3" fontId="3" fillId="0" borderId="13" xfId="0" applyNumberFormat="1" applyFont="1" applyFill="1" applyBorder="1" applyAlignment="1" applyProtection="1">
      <alignment horizontal="center" vertical="center"/>
    </xf>
    <xf numFmtId="3" fontId="1" fillId="5" borderId="26" xfId="0" applyNumberFormat="1" applyFont="1" applyFill="1" applyBorder="1" applyAlignment="1" applyProtection="1">
      <alignment horizontal="center" vertical="center"/>
      <protection locked="0"/>
    </xf>
    <xf numFmtId="3" fontId="1" fillId="5" borderId="51" xfId="0" applyNumberFormat="1" applyFont="1" applyFill="1" applyBorder="1" applyAlignment="1" applyProtection="1">
      <alignment horizontal="center" vertical="center"/>
      <protection locked="0"/>
    </xf>
    <xf numFmtId="0" fontId="1" fillId="6" borderId="0" xfId="0" applyFont="1" applyFill="1" applyBorder="1" applyAlignment="1" applyProtection="1">
      <alignment horizontal="center" vertical="top" wrapText="1"/>
      <protection hidden="1"/>
    </xf>
    <xf numFmtId="0" fontId="13" fillId="6" borderId="0" xfId="0" applyFont="1" applyFill="1" applyBorder="1" applyAlignment="1" applyProtection="1">
      <alignment horizontal="center" vertical="center" wrapText="1"/>
      <protection hidden="1"/>
    </xf>
    <xf numFmtId="3" fontId="1" fillId="0" borderId="0" xfId="0" applyNumberFormat="1" applyFont="1" applyFill="1" applyBorder="1" applyAlignment="1" applyProtection="1">
      <alignment vertical="center"/>
    </xf>
    <xf numFmtId="3" fontId="1" fillId="0" borderId="0" xfId="0" applyNumberFormat="1" applyFont="1" applyFill="1" applyBorder="1" applyAlignment="1" applyProtection="1">
      <alignment vertical="center"/>
      <protection hidden="1"/>
    </xf>
    <xf numFmtId="3" fontId="67" fillId="0" borderId="0" xfId="0" applyNumberFormat="1" applyFont="1" applyFill="1" applyBorder="1" applyAlignment="1" applyProtection="1">
      <alignment vertical="center"/>
      <protection hidden="1"/>
    </xf>
    <xf numFmtId="3" fontId="1" fillId="0" borderId="0" xfId="0" applyNumberFormat="1" applyFont="1" applyFill="1" applyBorder="1" applyAlignment="1" applyProtection="1">
      <alignment horizontal="center" vertical="center"/>
    </xf>
    <xf numFmtId="0" fontId="33" fillId="6" borderId="0" xfId="0" applyFont="1" applyFill="1" applyBorder="1" applyAlignment="1" applyProtection="1">
      <alignment horizontal="left" vertical="center" wrapText="1"/>
      <protection hidden="1"/>
    </xf>
    <xf numFmtId="3" fontId="16" fillId="0" borderId="16" xfId="0" applyNumberFormat="1" applyFont="1" applyFill="1" applyBorder="1" applyAlignment="1" applyProtection="1">
      <alignment horizontal="center" vertical="center"/>
      <protection hidden="1"/>
    </xf>
    <xf numFmtId="3" fontId="1" fillId="0" borderId="68" xfId="0" applyNumberFormat="1" applyFont="1" applyFill="1" applyBorder="1" applyAlignment="1" applyProtection="1">
      <alignment horizontal="center" vertical="center"/>
    </xf>
    <xf numFmtId="3" fontId="3" fillId="0" borderId="82" xfId="0" applyNumberFormat="1" applyFont="1" applyFill="1" applyBorder="1" applyAlignment="1" applyProtection="1">
      <alignment horizontal="left" vertical="center"/>
    </xf>
    <xf numFmtId="2" fontId="3" fillId="0" borderId="31" xfId="0" applyNumberFormat="1" applyFont="1" applyFill="1" applyBorder="1" applyAlignment="1" applyProtection="1">
      <alignment horizontal="center" vertical="center"/>
      <protection hidden="1"/>
    </xf>
    <xf numFmtId="3" fontId="3" fillId="0" borderId="51" xfId="0" applyNumberFormat="1" applyFont="1" applyFill="1" applyBorder="1" applyAlignment="1" applyProtection="1">
      <alignment horizontal="center" vertical="center"/>
    </xf>
    <xf numFmtId="3" fontId="1" fillId="5" borderId="27" xfId="0" applyNumberFormat="1" applyFont="1" applyFill="1" applyBorder="1" applyAlignment="1" applyProtection="1">
      <alignment horizontal="center" vertical="center"/>
      <protection locked="0"/>
    </xf>
    <xf numFmtId="3" fontId="1" fillId="0" borderId="27" xfId="0" applyNumberFormat="1" applyFont="1" applyFill="1" applyBorder="1" applyAlignment="1" applyProtection="1">
      <alignment horizontal="center" vertical="center"/>
    </xf>
    <xf numFmtId="3" fontId="0" fillId="0" borderId="68" xfId="0" applyNumberFormat="1" applyFill="1" applyBorder="1" applyAlignment="1" applyProtection="1">
      <alignment horizontal="center"/>
    </xf>
    <xf numFmtId="3" fontId="1" fillId="0" borderId="13" xfId="0" quotePrefix="1" applyNumberFormat="1" applyFont="1" applyFill="1" applyBorder="1" applyAlignment="1" applyProtection="1">
      <alignment horizontal="center" vertical="center"/>
    </xf>
    <xf numFmtId="0" fontId="0" fillId="0" borderId="0" xfId="0" applyFill="1" applyProtection="1"/>
    <xf numFmtId="0" fontId="0" fillId="6" borderId="0" xfId="0" applyFill="1" applyProtection="1"/>
    <xf numFmtId="0" fontId="1" fillId="0" borderId="0" xfId="0" applyFont="1" applyFill="1" applyBorder="1" applyAlignment="1" applyProtection="1">
      <alignment horizontal="center" vertical="top" wrapText="1"/>
    </xf>
    <xf numFmtId="0" fontId="68" fillId="6" borderId="0" xfId="0" applyFont="1" applyFill="1" applyProtection="1"/>
    <xf numFmtId="0" fontId="65" fillId="0" borderId="99" xfId="0" applyFont="1" applyBorder="1" applyAlignment="1" applyProtection="1">
      <alignment horizontal="center"/>
    </xf>
    <xf numFmtId="169" fontId="70" fillId="0" borderId="0" xfId="0" applyNumberFormat="1" applyFont="1" applyBorder="1" applyProtection="1"/>
    <xf numFmtId="0" fontId="3" fillId="0" borderId="2" xfId="0" applyFont="1" applyFill="1" applyBorder="1" applyAlignment="1" applyProtection="1">
      <alignment vertical="center" wrapText="1"/>
    </xf>
    <xf numFmtId="0" fontId="3" fillId="0" borderId="4" xfId="0" applyFont="1" applyFill="1" applyBorder="1" applyAlignment="1" applyProtection="1">
      <alignment horizontal="center"/>
    </xf>
    <xf numFmtId="0" fontId="3" fillId="0" borderId="0" xfId="0" applyFont="1" applyFill="1" applyBorder="1" applyAlignment="1" applyProtection="1">
      <alignment horizontal="center" vertical="center"/>
    </xf>
    <xf numFmtId="0" fontId="0" fillId="0" borderId="0" xfId="0" applyFill="1" applyAlignment="1" applyProtection="1">
      <alignment vertical="center"/>
    </xf>
    <xf numFmtId="0" fontId="0" fillId="6" borderId="0" xfId="0" applyFill="1" applyAlignment="1" applyProtection="1">
      <alignment vertical="center"/>
    </xf>
    <xf numFmtId="3" fontId="1" fillId="0" borderId="72" xfId="0" applyNumberFormat="1" applyFont="1" applyFill="1" applyBorder="1" applyAlignment="1" applyProtection="1">
      <alignment horizontal="center" vertical="center"/>
    </xf>
    <xf numFmtId="3" fontId="1" fillId="0" borderId="71" xfId="0" applyNumberFormat="1" applyFont="1" applyFill="1" applyBorder="1" applyAlignment="1" applyProtection="1">
      <alignment horizontal="center" vertical="center"/>
    </xf>
    <xf numFmtId="2" fontId="0" fillId="0" borderId="0" xfId="0" applyNumberFormat="1" applyFill="1" applyBorder="1" applyAlignment="1" applyProtection="1">
      <alignment horizontal="center" vertical="center"/>
    </xf>
    <xf numFmtId="0" fontId="65" fillId="0" borderId="103" xfId="0" applyFont="1" applyBorder="1" applyAlignment="1" applyProtection="1">
      <alignment horizontal="center"/>
    </xf>
    <xf numFmtId="169" fontId="70" fillId="0" borderId="77" xfId="0" applyNumberFormat="1" applyFont="1" applyBorder="1" applyProtection="1"/>
    <xf numFmtId="0" fontId="33" fillId="6" borderId="0" xfId="0" applyFont="1" applyFill="1" applyProtection="1"/>
    <xf numFmtId="0" fontId="1" fillId="0" borderId="14" xfId="0" applyFont="1" applyFill="1" applyBorder="1" applyProtection="1"/>
    <xf numFmtId="0" fontId="1" fillId="0" borderId="14" xfId="0" applyFont="1" applyFill="1" applyBorder="1" applyAlignment="1" applyProtection="1">
      <alignment vertical="center"/>
    </xf>
    <xf numFmtId="0" fontId="59" fillId="6" borderId="0" xfId="0" applyFont="1" applyFill="1" applyAlignment="1" applyProtection="1">
      <alignment vertical="center" wrapText="1"/>
    </xf>
    <xf numFmtId="0" fontId="1" fillId="0" borderId="24" xfId="0" applyFont="1" applyFill="1" applyBorder="1" applyAlignment="1" applyProtection="1">
      <alignment wrapText="1"/>
    </xf>
    <xf numFmtId="2" fontId="1" fillId="0" borderId="14" xfId="0" applyNumberFormat="1" applyFont="1" applyFill="1" applyBorder="1" applyAlignment="1" applyProtection="1">
      <alignment vertical="center"/>
    </xf>
    <xf numFmtId="2" fontId="1" fillId="0" borderId="19" xfId="0" applyNumberFormat="1" applyFont="1" applyFill="1" applyBorder="1" applyAlignment="1" applyProtection="1">
      <alignment vertical="center"/>
    </xf>
    <xf numFmtId="0" fontId="0" fillId="0" borderId="19" xfId="0" applyFill="1" applyBorder="1" applyProtection="1"/>
    <xf numFmtId="0" fontId="1" fillId="0" borderId="36" xfId="0" applyFont="1" applyFill="1" applyBorder="1" applyProtection="1"/>
    <xf numFmtId="0" fontId="1" fillId="0" borderId="19" xfId="0" applyFont="1" applyFill="1" applyBorder="1" applyAlignment="1" applyProtection="1">
      <alignment vertical="center"/>
    </xf>
    <xf numFmtId="0" fontId="1" fillId="0" borderId="0" xfId="0" applyFont="1" applyFill="1" applyBorder="1" applyAlignment="1" applyProtection="1">
      <alignment vertical="center"/>
    </xf>
    <xf numFmtId="0" fontId="0" fillId="6" borderId="0" xfId="0" applyFill="1" applyAlignment="1" applyProtection="1">
      <alignment horizontal="center" vertical="center"/>
    </xf>
    <xf numFmtId="0" fontId="3" fillId="0" borderId="24" xfId="0" applyFont="1" applyFill="1" applyBorder="1" applyAlignment="1" applyProtection="1">
      <alignment horizontal="left"/>
    </xf>
    <xf numFmtId="0" fontId="1" fillId="0" borderId="19" xfId="0" applyFont="1" applyFill="1" applyBorder="1" applyProtection="1"/>
    <xf numFmtId="0" fontId="69" fillId="0" borderId="36" xfId="0" applyFont="1" applyBorder="1" applyAlignment="1" applyProtection="1">
      <alignment vertical="center"/>
    </xf>
    <xf numFmtId="0" fontId="3" fillId="6" borderId="0" xfId="0" applyFont="1" applyFill="1" applyProtection="1"/>
    <xf numFmtId="3" fontId="0" fillId="6" borderId="0" xfId="0" applyNumberFormat="1" applyFill="1" applyProtection="1"/>
    <xf numFmtId="0" fontId="0" fillId="0" borderId="0" xfId="0" applyFill="1" applyBorder="1" applyProtection="1"/>
    <xf numFmtId="0" fontId="59" fillId="6" borderId="0" xfId="0" applyFont="1" applyFill="1" applyBorder="1" applyAlignment="1" applyProtection="1">
      <alignment horizontal="left" vertical="center" wrapText="1"/>
    </xf>
    <xf numFmtId="0" fontId="59" fillId="6" borderId="0" xfId="0" applyFont="1" applyFill="1" applyAlignment="1" applyProtection="1">
      <alignment horizontal="left" vertical="center" wrapText="1"/>
    </xf>
    <xf numFmtId="3" fontId="1" fillId="0" borderId="28" xfId="0" applyNumberFormat="1" applyFont="1" applyFill="1" applyBorder="1" applyAlignment="1" applyProtection="1">
      <alignment horizontal="left" vertical="center"/>
    </xf>
    <xf numFmtId="3" fontId="1" fillId="5" borderId="29" xfId="0" applyNumberFormat="1" applyFont="1" applyFill="1" applyBorder="1" applyAlignment="1" applyProtection="1">
      <alignment horizontal="center" vertical="center"/>
      <protection locked="0"/>
    </xf>
    <xf numFmtId="3" fontId="3" fillId="0" borderId="2" xfId="0" applyNumberFormat="1" applyFont="1" applyFill="1" applyBorder="1" applyAlignment="1" applyProtection="1">
      <alignment vertical="center"/>
    </xf>
    <xf numFmtId="0" fontId="25" fillId="3" borderId="0" xfId="0" applyFont="1" applyFill="1" applyBorder="1" applyAlignment="1" applyProtection="1">
      <alignment horizontal="center" vertical="top"/>
      <protection hidden="1"/>
    </xf>
    <xf numFmtId="0" fontId="1" fillId="5" borderId="91" xfId="0" applyFont="1" applyFill="1" applyBorder="1" applyAlignment="1" applyProtection="1">
      <alignment horizontal="center"/>
      <protection locked="0"/>
    </xf>
    <xf numFmtId="0" fontId="1" fillId="5" borderId="63" xfId="0" applyFont="1" applyFill="1" applyBorder="1" applyAlignment="1" applyProtection="1">
      <alignment horizontal="center"/>
      <protection locked="0"/>
    </xf>
    <xf numFmtId="0" fontId="3" fillId="0" borderId="0" xfId="0" applyFont="1" applyAlignment="1">
      <alignment wrapText="1"/>
    </xf>
    <xf numFmtId="4" fontId="1" fillId="5" borderId="19" xfId="0" applyNumberFormat="1" applyFont="1" applyFill="1" applyBorder="1" applyAlignment="1" applyProtection="1">
      <alignment horizontal="center" vertical="center" wrapText="1"/>
      <protection locked="0"/>
    </xf>
    <xf numFmtId="4" fontId="0" fillId="5" borderId="19" xfId="0" applyNumberFormat="1" applyFill="1" applyBorder="1" applyAlignment="1" applyProtection="1">
      <alignment horizontal="center" vertical="center" wrapText="1"/>
      <protection locked="0"/>
    </xf>
    <xf numFmtId="0" fontId="1" fillId="2" borderId="0" xfId="0" applyFont="1" applyFill="1" applyBorder="1" applyAlignment="1" applyProtection="1">
      <alignment horizontal="left"/>
      <protection hidden="1"/>
    </xf>
    <xf numFmtId="0" fontId="59" fillId="2" borderId="0" xfId="0" applyFont="1" applyFill="1" applyProtection="1">
      <protection hidden="1"/>
    </xf>
    <xf numFmtId="0" fontId="59" fillId="0" borderId="0" xfId="0" applyFont="1" applyAlignment="1">
      <alignment vertical="top"/>
    </xf>
    <xf numFmtId="0" fontId="4" fillId="3" borderId="38" xfId="0" applyFont="1" applyFill="1" applyBorder="1" applyAlignment="1" applyProtection="1">
      <alignment vertical="top"/>
    </xf>
    <xf numFmtId="0" fontId="3" fillId="3" borderId="38" xfId="0" applyFont="1" applyFill="1" applyBorder="1" applyAlignment="1" applyProtection="1">
      <alignment horizontal="left" vertical="top"/>
    </xf>
    <xf numFmtId="1" fontId="60" fillId="0" borderId="1" xfId="0" applyNumberFormat="1" applyFont="1" applyFill="1" applyBorder="1" applyAlignment="1" applyProtection="1">
      <alignment horizontal="center"/>
    </xf>
    <xf numFmtId="0" fontId="60" fillId="0" borderId="1" xfId="0" applyFont="1" applyFill="1" applyBorder="1" applyProtection="1"/>
    <xf numFmtId="1" fontId="59" fillId="0" borderId="1" xfId="0" applyNumberFormat="1" applyFont="1" applyFill="1" applyBorder="1" applyAlignment="1" applyProtection="1">
      <alignment horizontal="center"/>
    </xf>
    <xf numFmtId="0" fontId="60" fillId="0" borderId="0" xfId="0" applyFont="1" applyBorder="1" applyAlignment="1" applyProtection="1">
      <alignment horizontal="center"/>
    </xf>
    <xf numFmtId="0" fontId="0" fillId="0" borderId="3" xfId="0" applyBorder="1" applyProtection="1"/>
    <xf numFmtId="0" fontId="0" fillId="0" borderId="4" xfId="0" applyBorder="1" applyAlignment="1" applyProtection="1">
      <alignment wrapText="1"/>
    </xf>
    <xf numFmtId="3" fontId="44" fillId="0" borderId="4" xfId="0" applyNumberFormat="1" applyFont="1" applyBorder="1" applyProtection="1"/>
    <xf numFmtId="3" fontId="0" fillId="0" borderId="13" xfId="0" applyNumberFormat="1" applyBorder="1" applyProtection="1"/>
    <xf numFmtId="0" fontId="5" fillId="4" borderId="15" xfId="0" quotePrefix="1" applyFont="1" applyFill="1" applyBorder="1" applyAlignment="1" applyProtection="1">
      <alignment horizontal="center" vertical="top"/>
      <protection locked="0"/>
    </xf>
    <xf numFmtId="0" fontId="0" fillId="4" borderId="34" xfId="0" applyFill="1" applyBorder="1" applyAlignment="1" applyProtection="1">
      <alignment horizontal="left" vertical="top"/>
      <protection locked="0"/>
    </xf>
    <xf numFmtId="0" fontId="5" fillId="4" borderId="26" xfId="0" quotePrefix="1" applyFont="1" applyFill="1" applyBorder="1" applyAlignment="1" applyProtection="1">
      <alignment horizontal="center" vertical="top"/>
      <protection locked="0"/>
    </xf>
    <xf numFmtId="0" fontId="0" fillId="4" borderId="26" xfId="0" applyFill="1" applyBorder="1" applyAlignment="1" applyProtection="1">
      <alignment vertical="top"/>
      <protection locked="0"/>
    </xf>
    <xf numFmtId="0" fontId="1" fillId="0" borderId="4" xfId="0" applyFont="1" applyFill="1" applyBorder="1" applyAlignment="1" applyProtection="1">
      <alignment vertical="top"/>
    </xf>
    <xf numFmtId="0" fontId="0" fillId="0" borderId="4" xfId="0" applyFill="1" applyBorder="1" applyAlignment="1" applyProtection="1">
      <alignment vertical="top" wrapText="1"/>
    </xf>
    <xf numFmtId="0" fontId="1" fillId="4" borderId="31" xfId="0" applyFont="1" applyFill="1" applyBorder="1" applyAlignment="1" applyProtection="1">
      <alignment vertical="top"/>
      <protection locked="0"/>
    </xf>
    <xf numFmtId="3" fontId="44" fillId="0" borderId="105" xfId="0" applyNumberFormat="1" applyFont="1" applyFill="1" applyBorder="1" applyProtection="1"/>
    <xf numFmtId="3" fontId="4" fillId="0" borderId="16" xfId="0" applyNumberFormat="1" applyFont="1" applyBorder="1" applyProtection="1"/>
    <xf numFmtId="3" fontId="4" fillId="3" borderId="16" xfId="0" applyNumberFormat="1" applyFont="1" applyFill="1" applyBorder="1" applyProtection="1"/>
    <xf numFmtId="3" fontId="4" fillId="0" borderId="37" xfId="0" applyNumberFormat="1" applyFont="1" applyFill="1" applyBorder="1" applyAlignment="1" applyProtection="1">
      <protection hidden="1"/>
    </xf>
    <xf numFmtId="10" fontId="5" fillId="0" borderId="27" xfId="0" applyNumberFormat="1" applyFont="1" applyFill="1" applyBorder="1" applyProtection="1">
      <protection hidden="1"/>
    </xf>
    <xf numFmtId="10" fontId="4" fillId="0" borderId="73" xfId="0" applyNumberFormat="1" applyFont="1" applyFill="1" applyBorder="1" applyProtection="1">
      <protection hidden="1"/>
    </xf>
    <xf numFmtId="0" fontId="4" fillId="0" borderId="9" xfId="0" applyFont="1" applyFill="1" applyBorder="1" applyAlignment="1" applyProtection="1">
      <protection hidden="1"/>
    </xf>
    <xf numFmtId="0" fontId="1" fillId="2" borderId="0" xfId="0" applyFont="1" applyFill="1" applyBorder="1" applyAlignment="1" applyProtection="1">
      <alignment horizontal="right"/>
      <protection hidden="1"/>
    </xf>
    <xf numFmtId="1" fontId="1" fillId="0" borderId="1" xfId="0" applyNumberFormat="1" applyFont="1" applyFill="1" applyBorder="1" applyAlignment="1" applyProtection="1">
      <alignment horizontal="center"/>
    </xf>
    <xf numFmtId="0" fontId="1" fillId="0" borderId="1" xfId="0" applyFont="1" applyFill="1" applyBorder="1" applyAlignment="1" applyProtection="1">
      <alignment horizontal="center"/>
    </xf>
    <xf numFmtId="0" fontId="72" fillId="0" borderId="1" xfId="3" applyFont="1" applyFill="1" applyBorder="1" applyAlignment="1" applyProtection="1">
      <alignment horizontal="center" wrapText="1"/>
    </xf>
    <xf numFmtId="1" fontId="2" fillId="0" borderId="1" xfId="0" applyNumberFormat="1"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top"/>
      <protection locked="0"/>
    </xf>
    <xf numFmtId="0" fontId="1" fillId="0" borderId="1" xfId="0" applyFont="1" applyFill="1" applyBorder="1" applyProtection="1"/>
    <xf numFmtId="0" fontId="1" fillId="0" borderId="1" xfId="0" applyNumberFormat="1" applyFont="1" applyFill="1" applyBorder="1" applyAlignment="1" applyProtection="1"/>
    <xf numFmtId="0" fontId="1" fillId="0" borderId="1" xfId="0" applyFont="1" applyBorder="1" applyProtection="1"/>
    <xf numFmtId="0" fontId="3" fillId="0" borderId="1" xfId="0" applyFont="1" applyFill="1" applyBorder="1" applyProtection="1"/>
    <xf numFmtId="0" fontId="3" fillId="0" borderId="1" xfId="0" applyNumberFormat="1" applyFont="1" applyFill="1" applyBorder="1" applyAlignment="1" applyProtection="1"/>
    <xf numFmtId="1" fontId="73" fillId="0" borderId="1" xfId="0" applyNumberFormat="1" applyFont="1" applyFill="1" applyBorder="1" applyAlignment="1" applyProtection="1">
      <alignment horizontal="center"/>
    </xf>
    <xf numFmtId="0" fontId="73" fillId="0" borderId="1" xfId="0" applyFont="1" applyFill="1" applyBorder="1" applyProtection="1"/>
    <xf numFmtId="0" fontId="73" fillId="0" borderId="0" xfId="0" applyFont="1"/>
    <xf numFmtId="4" fontId="73" fillId="0" borderId="0" xfId="0" applyNumberFormat="1" applyFont="1"/>
    <xf numFmtId="0" fontId="74" fillId="0" borderId="0" xfId="0" applyFont="1"/>
    <xf numFmtId="3" fontId="73" fillId="0" borderId="0" xfId="0" applyNumberFormat="1" applyFont="1" applyAlignment="1">
      <alignment horizontal="center"/>
    </xf>
    <xf numFmtId="0" fontId="3" fillId="0" borderId="0" xfId="0" applyFont="1" applyAlignment="1">
      <alignment horizontal="center" vertical="top" wrapText="1"/>
    </xf>
    <xf numFmtId="3" fontId="3" fillId="0" borderId="0" xfId="0" applyNumberFormat="1" applyFont="1" applyAlignment="1">
      <alignment horizontal="center" vertical="top" wrapText="1"/>
    </xf>
    <xf numFmtId="0" fontId="1" fillId="0" borderId="1" xfId="0" applyFont="1" applyBorder="1" applyAlignment="1" applyProtection="1">
      <alignment horizontal="center"/>
    </xf>
    <xf numFmtId="4" fontId="1" fillId="0" borderId="0" xfId="0" applyNumberFormat="1" applyFont="1"/>
    <xf numFmtId="168" fontId="1" fillId="0" borderId="0" xfId="0" applyNumberFormat="1" applyFont="1" applyFill="1"/>
    <xf numFmtId="43" fontId="1" fillId="0" borderId="0" xfId="1" applyFont="1" applyFill="1"/>
    <xf numFmtId="4" fontId="0" fillId="0" borderId="0" xfId="0" applyNumberFormat="1" applyFill="1"/>
    <xf numFmtId="4" fontId="60" fillId="0" borderId="0" xfId="0" applyNumberFormat="1" applyFont="1" applyBorder="1" applyAlignment="1">
      <alignment vertical="center" wrapText="1"/>
    </xf>
    <xf numFmtId="0" fontId="60" fillId="0" borderId="0" xfId="0" applyFont="1" applyAlignment="1">
      <alignment wrapText="1"/>
    </xf>
    <xf numFmtId="0" fontId="1" fillId="4" borderId="68" xfId="0" applyFont="1" applyFill="1" applyBorder="1" applyAlignment="1" applyProtection="1">
      <alignment vertical="top" wrapText="1"/>
      <protection locked="0"/>
    </xf>
    <xf numFmtId="3" fontId="0" fillId="10" borderId="0" xfId="0" applyNumberFormat="1" applyFill="1" applyBorder="1"/>
    <xf numFmtId="0" fontId="19" fillId="2" borderId="0" xfId="0" applyFont="1" applyFill="1" applyBorder="1" applyAlignment="1">
      <alignment horizontal="left"/>
    </xf>
    <xf numFmtId="0" fontId="56" fillId="2" borderId="0" xfId="0" applyFont="1" applyFill="1" applyBorder="1" applyAlignment="1">
      <alignment wrapText="1"/>
    </xf>
    <xf numFmtId="0" fontId="56" fillId="2" borderId="0" xfId="0" applyFont="1" applyFill="1" applyBorder="1" applyAlignment="1">
      <alignment vertical="center" wrapText="1"/>
    </xf>
    <xf numFmtId="3" fontId="0" fillId="0" borderId="6" xfId="0" applyNumberFormat="1" applyBorder="1"/>
    <xf numFmtId="0" fontId="56" fillId="2" borderId="10" xfId="0" applyFont="1" applyFill="1" applyBorder="1" applyAlignment="1">
      <alignment horizontal="left" vertical="top" wrapText="1"/>
    </xf>
    <xf numFmtId="0" fontId="56" fillId="2" borderId="10" xfId="0" applyFont="1" applyFill="1" applyBorder="1" applyAlignment="1">
      <alignment horizontal="left" vertical="center" wrapText="1"/>
    </xf>
    <xf numFmtId="0" fontId="19" fillId="2" borderId="0" xfId="0" quotePrefix="1" applyFont="1" applyFill="1" applyAlignment="1">
      <alignment horizontal="left"/>
    </xf>
    <xf numFmtId="0" fontId="19" fillId="2" borderId="0" xfId="0" applyFont="1" applyFill="1" applyBorder="1" applyAlignment="1">
      <alignment horizontal="left" wrapText="1"/>
    </xf>
    <xf numFmtId="0" fontId="19" fillId="2" borderId="0" xfId="0" applyFont="1" applyFill="1" applyAlignment="1">
      <alignment horizontal="left" wrapText="1"/>
    </xf>
    <xf numFmtId="0" fontId="19" fillId="2" borderId="0" xfId="0" applyFont="1" applyFill="1" applyAlignment="1">
      <alignment horizontal="left" vertical="top" wrapText="1"/>
    </xf>
    <xf numFmtId="0" fontId="19" fillId="2" borderId="10" xfId="0" applyFont="1" applyFill="1" applyBorder="1" applyAlignment="1">
      <alignment horizontal="left" vertical="center" wrapText="1"/>
    </xf>
    <xf numFmtId="0" fontId="19" fillId="2" borderId="0" xfId="0" applyFont="1" applyFill="1" applyAlignment="1">
      <alignment horizontal="left" vertical="center" wrapText="1"/>
    </xf>
    <xf numFmtId="0" fontId="19" fillId="3" borderId="0" xfId="0" applyFont="1" applyFill="1" applyAlignment="1">
      <alignment horizontal="left" wrapText="1"/>
    </xf>
    <xf numFmtId="0" fontId="0" fillId="3" borderId="0" xfId="0" applyFill="1" applyAlignment="1">
      <alignment horizontal="left"/>
    </xf>
    <xf numFmtId="0" fontId="19" fillId="0" borderId="0" xfId="0" applyFont="1" applyFill="1" applyBorder="1" applyAlignment="1">
      <alignment horizontal="right" vertical="center" wrapText="1"/>
    </xf>
    <xf numFmtId="0" fontId="19" fillId="0" borderId="0" xfId="0" applyFont="1" applyFill="1" applyBorder="1" applyAlignment="1">
      <alignment horizontal="right" wrapText="1"/>
    </xf>
    <xf numFmtId="0" fontId="19" fillId="0" borderId="0" xfId="0" applyFont="1" applyFill="1" applyAlignment="1">
      <alignment horizontal="right" wrapText="1"/>
    </xf>
    <xf numFmtId="0" fontId="19" fillId="0" borderId="0" xfId="0" applyFont="1" applyFill="1" applyAlignment="1">
      <alignment horizontal="right" vertical="center" wrapText="1"/>
    </xf>
    <xf numFmtId="0" fontId="0" fillId="0" borderId="0" xfId="0" applyFill="1" applyAlignment="1">
      <alignment horizontal="right"/>
    </xf>
    <xf numFmtId="0" fontId="56" fillId="0" borderId="0" xfId="0" applyFont="1" applyFill="1" applyBorder="1" applyAlignment="1">
      <alignment horizontal="right" vertical="center" wrapText="1"/>
    </xf>
    <xf numFmtId="0" fontId="16" fillId="2" borderId="0" xfId="0" applyFont="1" applyFill="1" applyBorder="1" applyAlignment="1" applyProtection="1">
      <alignment horizontal="right" vertical="center" wrapText="1"/>
      <protection hidden="1"/>
    </xf>
    <xf numFmtId="0" fontId="1" fillId="0" borderId="107" xfId="0" applyFont="1" applyFill="1" applyBorder="1" applyAlignment="1" applyProtection="1">
      <alignment horizontal="center"/>
      <protection hidden="1"/>
    </xf>
    <xf numFmtId="0" fontId="1" fillId="5" borderId="59" xfId="0" applyFont="1" applyFill="1" applyBorder="1" applyAlignment="1" applyProtection="1">
      <alignment horizontal="center"/>
      <protection locked="0"/>
    </xf>
    <xf numFmtId="0" fontId="1" fillId="2" borderId="0" xfId="0" applyFont="1" applyFill="1" applyAlignment="1" applyProtection="1">
      <alignment horizontal="center" vertical="center" wrapText="1"/>
      <protection hidden="1"/>
    </xf>
    <xf numFmtId="0" fontId="23" fillId="2" borderId="0" xfId="0" applyFont="1" applyFill="1" applyAlignment="1" applyProtection="1">
      <alignment horizontal="left" vertical="center"/>
      <protection hidden="1"/>
    </xf>
    <xf numFmtId="0" fontId="7" fillId="2" borderId="10" xfId="0" applyFont="1" applyFill="1" applyBorder="1" applyAlignment="1">
      <alignment wrapText="1"/>
    </xf>
    <xf numFmtId="0" fontId="7" fillId="2" borderId="0" xfId="0" applyFont="1" applyFill="1" applyBorder="1" applyAlignment="1">
      <alignment wrapText="1"/>
    </xf>
    <xf numFmtId="4" fontId="0" fillId="5" borderId="19" xfId="0" applyNumberFormat="1" applyFill="1" applyBorder="1" applyAlignment="1" applyProtection="1">
      <alignment horizontal="right" indent="1"/>
      <protection locked="0"/>
    </xf>
    <xf numFmtId="10" fontId="0" fillId="5" borderId="19" xfId="0" applyNumberFormat="1" applyFill="1" applyBorder="1" applyProtection="1">
      <protection locked="0"/>
    </xf>
    <xf numFmtId="4" fontId="1" fillId="4" borderId="19" xfId="0" applyNumberFormat="1" applyFont="1" applyFill="1" applyBorder="1" applyAlignment="1" applyProtection="1">
      <alignment horizontal="center" vertical="center"/>
      <protection locked="0"/>
    </xf>
    <xf numFmtId="4" fontId="0" fillId="4" borderId="19" xfId="0" applyNumberFormat="1" applyFill="1" applyBorder="1" applyAlignment="1" applyProtection="1">
      <alignment horizontal="center" vertical="center"/>
      <protection locked="0"/>
    </xf>
    <xf numFmtId="165" fontId="1" fillId="4" borderId="19" xfId="1" applyNumberFormat="1" applyFont="1" applyFill="1" applyBorder="1" applyAlignment="1" applyProtection="1">
      <alignment vertical="top" wrapText="1"/>
      <protection locked="0"/>
    </xf>
    <xf numFmtId="0" fontId="0" fillId="2" borderId="0" xfId="0" applyFill="1" applyProtection="1">
      <protection locked="0"/>
    </xf>
    <xf numFmtId="0" fontId="1" fillId="4" borderId="26" xfId="0" applyFont="1" applyFill="1" applyBorder="1" applyAlignment="1" applyProtection="1">
      <alignment horizontal="left" vertical="top" wrapText="1"/>
      <protection locked="0"/>
    </xf>
    <xf numFmtId="0" fontId="1" fillId="4" borderId="29" xfId="0" applyFont="1" applyFill="1" applyBorder="1" applyAlignment="1" applyProtection="1">
      <alignment horizontal="left" vertical="top" wrapText="1"/>
      <protection locked="0"/>
    </xf>
    <xf numFmtId="0" fontId="5" fillId="4" borderId="26" xfId="0" applyNumberFormat="1" applyFont="1" applyFill="1" applyBorder="1" applyAlignment="1" applyProtection="1">
      <alignment horizontal="center" vertical="top"/>
      <protection locked="0"/>
    </xf>
    <xf numFmtId="0" fontId="1" fillId="4" borderId="33"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6" xfId="0" applyFont="1" applyFill="1" applyBorder="1" applyAlignment="1" applyProtection="1">
      <alignment vertical="top" wrapText="1"/>
      <protection locked="0"/>
    </xf>
    <xf numFmtId="0" fontId="71" fillId="2" borderId="0" xfId="0" applyFont="1" applyFill="1" applyBorder="1" applyAlignment="1" applyProtection="1">
      <alignment horizontal="left" vertical="top" wrapText="1"/>
      <protection hidden="1"/>
    </xf>
    <xf numFmtId="0" fontId="35" fillId="3" borderId="0" xfId="0" applyFont="1" applyFill="1" applyBorder="1" applyAlignment="1" applyProtection="1">
      <alignment horizontal="center" vertical="center"/>
      <protection hidden="1"/>
    </xf>
    <xf numFmtId="0" fontId="25" fillId="3" borderId="106" xfId="0" quotePrefix="1" applyFont="1" applyFill="1" applyBorder="1" applyAlignment="1">
      <alignment horizontal="left" vertical="center" wrapText="1"/>
    </xf>
    <xf numFmtId="0" fontId="25" fillId="3" borderId="76" xfId="0" quotePrefix="1" applyFont="1" applyFill="1" applyBorder="1" applyAlignment="1">
      <alignment horizontal="left" vertical="center" wrapText="1"/>
    </xf>
    <xf numFmtId="0" fontId="25" fillId="3" borderId="58" xfId="0" quotePrefix="1" applyFont="1" applyFill="1" applyBorder="1" applyAlignment="1">
      <alignment horizontal="left" vertical="center" wrapText="1"/>
    </xf>
    <xf numFmtId="0" fontId="71" fillId="3" borderId="10" xfId="0" quotePrefix="1" applyFont="1" applyFill="1" applyBorder="1" applyAlignment="1">
      <alignment horizontal="left" vertical="center" wrapText="1"/>
    </xf>
    <xf numFmtId="0" fontId="71" fillId="3" borderId="0" xfId="0" quotePrefix="1" applyFont="1" applyFill="1" applyBorder="1" applyAlignment="1">
      <alignment horizontal="left" vertical="center" wrapText="1"/>
    </xf>
    <xf numFmtId="0" fontId="71" fillId="3" borderId="23" xfId="0" quotePrefix="1" applyFont="1" applyFill="1" applyBorder="1" applyAlignment="1">
      <alignment horizontal="left" vertical="center" wrapText="1"/>
    </xf>
    <xf numFmtId="0" fontId="6" fillId="3" borderId="10" xfId="0" quotePrefix="1" applyFont="1" applyFill="1" applyBorder="1" applyAlignment="1">
      <alignment horizontal="center" vertical="center" wrapText="1"/>
    </xf>
    <xf numFmtId="0" fontId="6" fillId="3" borderId="0" xfId="0" quotePrefix="1" applyFont="1" applyFill="1" applyBorder="1" applyAlignment="1">
      <alignment horizontal="center" vertical="center" wrapText="1"/>
    </xf>
    <xf numFmtId="0" fontId="6" fillId="3" borderId="23" xfId="0" quotePrefix="1" applyFont="1" applyFill="1" applyBorder="1" applyAlignment="1">
      <alignment horizontal="center" vertical="center" wrapText="1"/>
    </xf>
    <xf numFmtId="0" fontId="56" fillId="2" borderId="10" xfId="0" applyFont="1" applyFill="1" applyBorder="1" applyAlignment="1">
      <alignment horizontal="left" vertical="top" wrapText="1"/>
    </xf>
    <xf numFmtId="0" fontId="56" fillId="2" borderId="0" xfId="0" applyFont="1" applyFill="1" applyBorder="1" applyAlignment="1">
      <alignment horizontal="left" vertical="top" wrapText="1"/>
    </xf>
    <xf numFmtId="0" fontId="56" fillId="2" borderId="10" xfId="0" applyFont="1" applyFill="1" applyBorder="1" applyAlignment="1">
      <alignment horizontal="left" vertical="center" wrapText="1"/>
    </xf>
    <xf numFmtId="0" fontId="56" fillId="2" borderId="0" xfId="0" applyFont="1" applyFill="1" applyBorder="1" applyAlignment="1">
      <alignment horizontal="left" vertical="center" wrapText="1"/>
    </xf>
    <xf numFmtId="0" fontId="16" fillId="3" borderId="0" xfId="0" applyFont="1" applyFill="1" applyBorder="1" applyAlignment="1">
      <alignment horizontal="right" wrapText="1"/>
    </xf>
    <xf numFmtId="0" fontId="56" fillId="2" borderId="10" xfId="0" applyFont="1" applyFill="1" applyBorder="1" applyAlignment="1">
      <alignment horizontal="left" wrapText="1"/>
    </xf>
    <xf numFmtId="0" fontId="56" fillId="2" borderId="0" xfId="0" applyFont="1" applyFill="1" applyBorder="1" applyAlignment="1">
      <alignment horizontal="left" wrapText="1"/>
    </xf>
    <xf numFmtId="3" fontId="1" fillId="5" borderId="23" xfId="0" applyNumberFormat="1" applyFont="1" applyFill="1" applyBorder="1" applyAlignment="1" applyProtection="1">
      <alignment horizontal="center" vertical="center"/>
      <protection locked="0"/>
    </xf>
    <xf numFmtId="3" fontId="1" fillId="5" borderId="57" xfId="0" applyNumberFormat="1" applyFont="1" applyFill="1" applyBorder="1" applyAlignment="1" applyProtection="1">
      <alignment horizontal="center" vertical="center"/>
      <protection locked="0"/>
    </xf>
    <xf numFmtId="0" fontId="16" fillId="3" borderId="85" xfId="0" applyFont="1" applyFill="1" applyBorder="1" applyAlignment="1" applyProtection="1">
      <alignment horizontal="center" vertical="center" shrinkToFit="1"/>
      <protection hidden="1"/>
    </xf>
    <xf numFmtId="0" fontId="0" fillId="0" borderId="86" xfId="0" applyBorder="1" applyAlignment="1" applyProtection="1">
      <alignment shrinkToFit="1"/>
      <protection hidden="1"/>
    </xf>
    <xf numFmtId="0" fontId="0" fillId="0" borderId="25" xfId="0" applyBorder="1" applyAlignment="1" applyProtection="1">
      <alignment shrinkToFit="1"/>
      <protection hidden="1"/>
    </xf>
    <xf numFmtId="0" fontId="16" fillId="3" borderId="87" xfId="0" quotePrefix="1" applyFont="1" applyFill="1" applyBorder="1" applyAlignment="1">
      <alignment horizontal="center" vertical="center" wrapText="1"/>
    </xf>
    <xf numFmtId="0" fontId="16" fillId="3" borderId="88" xfId="0" applyFont="1" applyFill="1" applyBorder="1" applyAlignment="1">
      <alignment horizontal="center" vertical="center" wrapText="1"/>
    </xf>
    <xf numFmtId="0" fontId="16" fillId="3" borderId="63" xfId="0" applyFont="1" applyFill="1" applyBorder="1" applyAlignment="1">
      <alignment horizontal="center" vertical="center" wrapText="1"/>
    </xf>
    <xf numFmtId="0" fontId="1" fillId="3" borderId="44" xfId="0" applyFont="1" applyFill="1" applyBorder="1" applyAlignment="1"/>
    <xf numFmtId="0" fontId="1" fillId="3" borderId="41" xfId="0" applyFont="1" applyFill="1" applyBorder="1" applyAlignment="1"/>
    <xf numFmtId="0" fontId="1" fillId="3" borderId="46" xfId="0" applyFont="1" applyFill="1" applyBorder="1" applyAlignment="1"/>
    <xf numFmtId="0" fontId="1" fillId="3" borderId="10" xfId="0" applyFont="1" applyFill="1" applyBorder="1" applyAlignment="1"/>
    <xf numFmtId="0" fontId="1" fillId="3" borderId="0" xfId="0" applyFont="1" applyFill="1" applyBorder="1" applyAlignment="1"/>
    <xf numFmtId="0" fontId="1" fillId="3" borderId="48" xfId="0" applyFont="1" applyFill="1" applyBorder="1" applyAlignment="1"/>
    <xf numFmtId="0" fontId="3" fillId="3" borderId="10" xfId="0" applyFont="1" applyFill="1" applyBorder="1" applyAlignment="1">
      <alignment horizontal="right" wrapText="1"/>
    </xf>
    <xf numFmtId="0" fontId="3" fillId="3" borderId="0" xfId="0" applyFont="1" applyFill="1" applyBorder="1" applyAlignment="1">
      <alignment horizontal="right" wrapText="1"/>
    </xf>
    <xf numFmtId="0" fontId="1" fillId="3" borderId="92" xfId="0" applyFont="1" applyFill="1" applyBorder="1" applyAlignment="1">
      <alignment horizontal="left" wrapText="1"/>
    </xf>
    <xf numFmtId="0" fontId="1" fillId="3" borderId="93" xfId="0" applyFont="1" applyFill="1" applyBorder="1" applyAlignment="1">
      <alignment horizontal="left" wrapText="1"/>
    </xf>
    <xf numFmtId="0" fontId="1" fillId="4" borderId="81" xfId="0" applyFont="1" applyFill="1" applyBorder="1" applyAlignment="1" applyProtection="1">
      <alignment horizontal="center" wrapText="1"/>
      <protection locked="0"/>
    </xf>
    <xf numFmtId="0" fontId="0" fillId="4" borderId="88" xfId="0" applyFill="1" applyBorder="1" applyAlignment="1" applyProtection="1">
      <alignment horizontal="center" wrapText="1"/>
      <protection locked="0"/>
    </xf>
    <xf numFmtId="0" fontId="0" fillId="4" borderId="63" xfId="0" applyFill="1" applyBorder="1" applyAlignment="1" applyProtection="1">
      <alignment horizontal="center" wrapText="1"/>
      <protection locked="0"/>
    </xf>
    <xf numFmtId="0" fontId="1" fillId="0" borderId="10"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3" borderId="1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3" fillId="3" borderId="0" xfId="0" applyFont="1" applyFill="1" applyBorder="1" applyAlignment="1">
      <alignment horizontal="center" vertical="center"/>
    </xf>
    <xf numFmtId="0" fontId="1" fillId="0" borderId="0" xfId="0" applyFont="1" applyFill="1" applyBorder="1" applyAlignment="1">
      <alignment horizontal="center" wrapText="1"/>
    </xf>
    <xf numFmtId="3" fontId="3" fillId="0" borderId="23" xfId="0" applyNumberFormat="1" applyFont="1" applyFill="1" applyBorder="1" applyAlignment="1">
      <alignment horizontal="right" vertical="center"/>
    </xf>
    <xf numFmtId="0" fontId="1" fillId="0" borderId="0" xfId="0" applyFont="1" applyFill="1" applyBorder="1" applyAlignment="1">
      <alignment horizontal="left" vertical="center" wrapText="1"/>
    </xf>
    <xf numFmtId="0" fontId="1" fillId="0" borderId="0" xfId="0" quotePrefix="1" applyFont="1" applyFill="1" applyBorder="1" applyAlignment="1">
      <alignment horizontal="left" wrapText="1"/>
    </xf>
    <xf numFmtId="0" fontId="1" fillId="0" borderId="0" xfId="0" applyFont="1" applyFill="1" applyBorder="1" applyAlignment="1">
      <alignment horizontal="left" wrapText="1"/>
    </xf>
    <xf numFmtId="0" fontId="13" fillId="3" borderId="82" xfId="0" applyFont="1" applyFill="1" applyBorder="1" applyAlignment="1">
      <alignment horizontal="center" vertical="center"/>
    </xf>
    <xf numFmtId="0" fontId="0" fillId="0" borderId="31" xfId="0" applyBorder="1" applyAlignment="1"/>
    <xf numFmtId="165" fontId="2" fillId="3" borderId="10" xfId="1" applyNumberFormat="1" applyFont="1" applyFill="1" applyBorder="1" applyAlignment="1" applyProtection="1">
      <alignment horizontal="right"/>
    </xf>
    <xf numFmtId="165" fontId="2" fillId="3" borderId="0" xfId="1" applyNumberFormat="1" applyFont="1" applyFill="1" applyBorder="1" applyAlignment="1" applyProtection="1">
      <alignment horizontal="right"/>
    </xf>
    <xf numFmtId="165" fontId="0" fillId="3" borderId="0" xfId="1" applyNumberFormat="1" applyFont="1" applyFill="1" applyBorder="1" applyAlignment="1" applyProtection="1">
      <alignment horizontal="right"/>
    </xf>
    <xf numFmtId="165" fontId="16" fillId="3" borderId="17" xfId="1" applyNumberFormat="1" applyFont="1" applyFill="1" applyBorder="1" applyAlignment="1" applyProtection="1">
      <alignment horizontal="center" vertical="center" shrinkToFit="1"/>
      <protection hidden="1"/>
    </xf>
    <xf numFmtId="0" fontId="16" fillId="3" borderId="32" xfId="0" applyFont="1" applyFill="1" applyBorder="1" applyAlignment="1" applyProtection="1">
      <alignment horizontal="center" vertical="center" shrinkToFit="1"/>
      <protection hidden="1"/>
    </xf>
    <xf numFmtId="0" fontId="16" fillId="3" borderId="18" xfId="0" applyFont="1" applyFill="1" applyBorder="1" applyAlignment="1" applyProtection="1">
      <alignment horizontal="center" vertical="center" shrinkToFit="1"/>
      <protection hidden="1"/>
    </xf>
    <xf numFmtId="0" fontId="47" fillId="0" borderId="20" xfId="0" applyFont="1" applyFill="1" applyBorder="1" applyAlignment="1" applyProtection="1">
      <alignment horizontal="center" vertical="center"/>
    </xf>
    <xf numFmtId="0" fontId="47" fillId="0" borderId="21" xfId="0" applyFont="1" applyFill="1" applyBorder="1" applyAlignment="1" applyProtection="1">
      <alignment horizontal="center" vertical="center"/>
    </xf>
    <xf numFmtId="0" fontId="47" fillId="0" borderId="22" xfId="0" applyFont="1" applyFill="1" applyBorder="1" applyAlignment="1" applyProtection="1">
      <alignment horizontal="center" vertical="center"/>
    </xf>
    <xf numFmtId="2" fontId="45" fillId="3" borderId="11" xfId="0" applyNumberFormat="1" applyFont="1" applyFill="1" applyBorder="1" applyAlignment="1" applyProtection="1">
      <alignment horizontal="center" vertical="center"/>
      <protection hidden="1"/>
    </xf>
    <xf numFmtId="2" fontId="45" fillId="3" borderId="12" xfId="0" applyNumberFormat="1" applyFont="1" applyFill="1" applyBorder="1" applyAlignment="1" applyProtection="1">
      <alignment horizontal="center" vertical="center"/>
      <protection hidden="1"/>
    </xf>
    <xf numFmtId="2" fontId="45" fillId="3" borderId="9" xfId="0" applyNumberFormat="1" applyFont="1" applyFill="1" applyBorder="1" applyAlignment="1" applyProtection="1">
      <alignment horizontal="center" vertical="center"/>
      <protection hidden="1"/>
    </xf>
    <xf numFmtId="166" fontId="16" fillId="3" borderId="0" xfId="0" applyNumberFormat="1" applyFont="1" applyFill="1" applyBorder="1" applyAlignment="1" applyProtection="1">
      <alignment horizontal="center" vertical="center" wrapText="1"/>
    </xf>
    <xf numFmtId="0" fontId="1" fillId="0" borderId="97" xfId="0" applyFont="1" applyFill="1" applyBorder="1" applyAlignment="1" applyProtection="1">
      <alignment horizontal="left" vertical="top" wrapText="1"/>
      <protection hidden="1"/>
    </xf>
    <xf numFmtId="0" fontId="1" fillId="0" borderId="35" xfId="0" applyFont="1" applyFill="1" applyBorder="1" applyAlignment="1" applyProtection="1">
      <alignment horizontal="left" vertical="top" wrapText="1"/>
      <protection hidden="1"/>
    </xf>
    <xf numFmtId="0" fontId="1" fillId="0" borderId="79" xfId="0" applyFont="1" applyFill="1" applyBorder="1" applyAlignment="1" applyProtection="1">
      <alignment horizontal="left" vertical="top" wrapText="1"/>
      <protection hidden="1"/>
    </xf>
    <xf numFmtId="0" fontId="1" fillId="0" borderId="5" xfId="0" applyFont="1" applyFill="1" applyBorder="1" applyAlignment="1" applyProtection="1">
      <alignment horizontal="left" vertical="top" wrapText="1"/>
      <protection hidden="1"/>
    </xf>
    <xf numFmtId="0" fontId="1" fillId="0" borderId="80" xfId="0" applyFont="1" applyFill="1" applyBorder="1" applyAlignment="1" applyProtection="1">
      <alignment horizontal="left" vertical="top" wrapText="1"/>
      <protection hidden="1"/>
    </xf>
    <xf numFmtId="0" fontId="1" fillId="0" borderId="7" xfId="0" applyFont="1" applyFill="1" applyBorder="1" applyAlignment="1" applyProtection="1">
      <alignment horizontal="left" vertical="top" wrapText="1"/>
      <protection hidden="1"/>
    </xf>
    <xf numFmtId="0" fontId="1" fillId="0" borderId="98" xfId="0" applyFont="1" applyFill="1" applyBorder="1" applyAlignment="1" applyProtection="1">
      <alignment horizontal="right" vertical="top" wrapText="1"/>
      <protection hidden="1"/>
    </xf>
    <xf numFmtId="0" fontId="1" fillId="0" borderId="15" xfId="0" applyFont="1" applyFill="1" applyBorder="1" applyAlignment="1" applyProtection="1">
      <alignment horizontal="right" vertical="top" wrapText="1"/>
      <protection hidden="1"/>
    </xf>
    <xf numFmtId="0" fontId="0" fillId="4" borderId="31" xfId="0" applyFill="1" applyBorder="1" applyAlignment="1" applyProtection="1">
      <alignment vertical="center" wrapText="1"/>
      <protection locked="0"/>
    </xf>
    <xf numFmtId="0" fontId="0" fillId="0" borderId="31" xfId="0" applyBorder="1" applyAlignment="1" applyProtection="1">
      <alignment vertical="center" wrapText="1"/>
      <protection locked="0"/>
    </xf>
    <xf numFmtId="0" fontId="23" fillId="0" borderId="29" xfId="0" applyFont="1" applyBorder="1" applyAlignment="1" applyProtection="1">
      <alignment vertical="center" wrapText="1"/>
    </xf>
    <xf numFmtId="0" fontId="4" fillId="0" borderId="4" xfId="0" applyFont="1" applyBorder="1" applyAlignment="1" applyProtection="1">
      <alignment horizontal="center" vertical="center"/>
    </xf>
    <xf numFmtId="0" fontId="0" fillId="4" borderId="19" xfId="0" applyFill="1" applyBorder="1" applyAlignment="1" applyProtection="1">
      <alignment vertical="center" wrapText="1"/>
      <protection locked="0"/>
    </xf>
    <xf numFmtId="0" fontId="0" fillId="0" borderId="19" xfId="0" applyBorder="1" applyAlignment="1" applyProtection="1">
      <alignment vertical="center" wrapText="1"/>
      <protection locked="0"/>
    </xf>
    <xf numFmtId="0" fontId="1" fillId="4" borderId="38"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37" xfId="0" applyFont="1" applyFill="1" applyBorder="1" applyAlignment="1" applyProtection="1">
      <alignment horizontal="left" vertical="top" wrapText="1"/>
      <protection locked="0"/>
    </xf>
    <xf numFmtId="0" fontId="0" fillId="4" borderId="29" xfId="0" applyFill="1" applyBorder="1" applyAlignment="1" applyProtection="1">
      <alignment vertical="center" wrapText="1"/>
      <protection locked="0"/>
    </xf>
    <xf numFmtId="0" fontId="3" fillId="0" borderId="17" xfId="0" applyFont="1" applyBorder="1" applyAlignment="1" applyProtection="1">
      <alignment wrapText="1"/>
    </xf>
    <xf numFmtId="0" fontId="0" fillId="0" borderId="3" xfId="0" applyBorder="1" applyAlignment="1">
      <alignment wrapText="1"/>
    </xf>
    <xf numFmtId="0" fontId="3" fillId="3" borderId="38" xfId="0" applyFont="1" applyFill="1" applyBorder="1" applyAlignment="1" applyProtection="1">
      <alignment horizontal="left" vertical="top"/>
    </xf>
    <xf numFmtId="0" fontId="0" fillId="0" borderId="8" xfId="0" applyBorder="1" applyAlignment="1">
      <alignment vertical="top"/>
    </xf>
    <xf numFmtId="0" fontId="0" fillId="0" borderId="37" xfId="0" applyBorder="1" applyAlignment="1">
      <alignment vertical="top"/>
    </xf>
    <xf numFmtId="0" fontId="3" fillId="0" borderId="38" xfId="0" applyFont="1" applyBorder="1" applyAlignment="1" applyProtection="1">
      <alignment horizontal="left" vertical="top"/>
    </xf>
    <xf numFmtId="0" fontId="3" fillId="3" borderId="8" xfId="0" applyFont="1" applyFill="1" applyBorder="1" applyAlignment="1" applyProtection="1">
      <alignment horizontal="left" vertical="top" wrapText="1"/>
    </xf>
    <xf numFmtId="0" fontId="0" fillId="0" borderId="8" xfId="0" applyBorder="1" applyAlignment="1" applyProtection="1">
      <alignment vertical="top" wrapText="1"/>
    </xf>
    <xf numFmtId="0" fontId="0" fillId="0" borderId="37" xfId="0" applyBorder="1" applyAlignment="1" applyProtection="1">
      <alignment vertical="top" wrapText="1"/>
    </xf>
    <xf numFmtId="0" fontId="0" fillId="3" borderId="8" xfId="0" applyFill="1" applyBorder="1" applyAlignment="1" applyProtection="1">
      <alignment vertical="top" wrapText="1"/>
    </xf>
    <xf numFmtId="0" fontId="4" fillId="0" borderId="38" xfId="0" applyFont="1" applyFill="1" applyBorder="1" applyAlignment="1" applyProtection="1">
      <alignment horizontal="left" vertical="top" wrapText="1"/>
    </xf>
    <xf numFmtId="0" fontId="4" fillId="0" borderId="8" xfId="0" applyFont="1" applyFill="1" applyBorder="1" applyAlignment="1" applyProtection="1">
      <alignment vertical="top" wrapText="1"/>
    </xf>
    <xf numFmtId="0" fontId="4" fillId="0" borderId="37" xfId="0" applyFont="1" applyFill="1" applyBorder="1" applyAlignment="1" applyProtection="1">
      <alignment vertical="top" wrapText="1"/>
    </xf>
    <xf numFmtId="0" fontId="0" fillId="0" borderId="37" xfId="0" applyBorder="1" applyAlignment="1">
      <alignment horizontal="left" vertical="top"/>
    </xf>
    <xf numFmtId="0" fontId="4" fillId="3" borderId="38" xfId="0" applyFont="1" applyFill="1" applyBorder="1" applyAlignment="1" applyProtection="1">
      <alignment horizontal="left" vertical="top" wrapText="1"/>
    </xf>
    <xf numFmtId="0" fontId="0" fillId="0" borderId="8" xfId="0" applyBorder="1" applyAlignment="1">
      <alignment vertical="top" wrapText="1"/>
    </xf>
    <xf numFmtId="0" fontId="0" fillId="0" borderId="37" xfId="0" applyBorder="1" applyAlignment="1">
      <alignment vertical="top" wrapText="1"/>
    </xf>
    <xf numFmtId="0" fontId="3" fillId="3" borderId="38" xfId="0" applyFont="1" applyFill="1" applyBorder="1" applyAlignment="1" applyProtection="1">
      <alignment horizontal="left" vertical="top" wrapText="1"/>
    </xf>
    <xf numFmtId="0" fontId="3" fillId="8" borderId="38" xfId="0" applyFont="1" applyFill="1" applyBorder="1" applyAlignment="1" applyProtection="1">
      <alignment horizontal="left" vertical="top" wrapText="1"/>
      <protection hidden="1"/>
    </xf>
    <xf numFmtId="0" fontId="3" fillId="8" borderId="8" xfId="0" applyFont="1" applyFill="1" applyBorder="1" applyAlignment="1" applyProtection="1">
      <alignment horizontal="left" vertical="top" wrapText="1"/>
      <protection hidden="1"/>
    </xf>
    <xf numFmtId="0" fontId="3" fillId="8" borderId="37" xfId="0" applyFont="1" applyFill="1" applyBorder="1" applyAlignment="1" applyProtection="1">
      <alignment horizontal="left" vertical="top" wrapText="1"/>
      <protection hidden="1"/>
    </xf>
    <xf numFmtId="0" fontId="0" fillId="3" borderId="8" xfId="0" applyFill="1" applyBorder="1" applyAlignment="1" applyProtection="1">
      <alignment horizontal="left" vertical="top" wrapText="1"/>
    </xf>
    <xf numFmtId="0" fontId="4" fillId="3" borderId="38" xfId="0" applyFont="1" applyFill="1" applyBorder="1" applyAlignment="1" applyProtection="1">
      <alignment vertical="top"/>
    </xf>
    <xf numFmtId="0" fontId="8" fillId="2" borderId="0" xfId="2" applyFill="1" applyAlignment="1" applyProtection="1">
      <alignment horizontal="center" vertical="center"/>
    </xf>
    <xf numFmtId="166" fontId="45" fillId="3" borderId="10" xfId="0" applyNumberFormat="1" applyFont="1" applyFill="1" applyBorder="1" applyAlignment="1" applyProtection="1">
      <alignment horizontal="center" vertical="center"/>
      <protection hidden="1"/>
    </xf>
    <xf numFmtId="166" fontId="45" fillId="3" borderId="0" xfId="0" applyNumberFormat="1" applyFont="1" applyFill="1" applyBorder="1" applyAlignment="1" applyProtection="1">
      <alignment horizontal="center" vertical="center"/>
      <protection hidden="1"/>
    </xf>
    <xf numFmtId="166" fontId="45" fillId="3" borderId="23" xfId="0" applyNumberFormat="1" applyFont="1" applyFill="1" applyBorder="1" applyAlignment="1" applyProtection="1">
      <alignment horizontal="center" vertical="center"/>
      <protection hidden="1"/>
    </xf>
    <xf numFmtId="166" fontId="16" fillId="3" borderId="77" xfId="0" applyNumberFormat="1" applyFont="1" applyFill="1" applyBorder="1" applyAlignment="1" applyProtection="1">
      <alignment horizontal="center" vertical="center" wrapText="1"/>
    </xf>
    <xf numFmtId="3" fontId="6" fillId="3" borderId="17" xfId="0" applyNumberFormat="1" applyFont="1" applyFill="1" applyBorder="1" applyAlignment="1" applyProtection="1">
      <alignment horizontal="center" vertical="center"/>
    </xf>
    <xf numFmtId="3" fontId="6" fillId="3" borderId="18" xfId="0" applyNumberFormat="1" applyFont="1" applyFill="1" applyBorder="1" applyAlignment="1" applyProtection="1">
      <alignment horizontal="center" vertical="center"/>
    </xf>
    <xf numFmtId="0" fontId="16" fillId="3" borderId="17" xfId="0" applyFont="1" applyFill="1" applyBorder="1" applyAlignment="1" applyProtection="1">
      <alignment horizontal="center" vertical="center" shrinkToFit="1"/>
      <protection hidden="1"/>
    </xf>
    <xf numFmtId="0" fontId="4" fillId="0" borderId="20" xfId="0" applyFont="1" applyBorder="1" applyAlignment="1" applyProtection="1">
      <alignment horizontal="center" vertical="top" wrapText="1"/>
    </xf>
    <xf numFmtId="0" fontId="4" fillId="0" borderId="10" xfId="0" applyFont="1" applyBorder="1" applyAlignment="1" applyProtection="1">
      <alignment horizontal="center" vertical="top" wrapText="1"/>
    </xf>
    <xf numFmtId="0" fontId="4" fillId="0" borderId="11" xfId="0" applyFont="1" applyBorder="1" applyAlignment="1" applyProtection="1">
      <alignment horizontal="center" vertical="top" wrapText="1"/>
    </xf>
    <xf numFmtId="0" fontId="5" fillId="4" borderId="8" xfId="0" applyFont="1" applyFill="1" applyBorder="1" applyAlignment="1" applyProtection="1">
      <alignment vertical="top" wrapText="1"/>
      <protection locked="0"/>
    </xf>
    <xf numFmtId="0" fontId="5" fillId="4" borderId="37" xfId="0" applyFont="1" applyFill="1" applyBorder="1" applyAlignment="1" applyProtection="1">
      <alignment vertical="top" wrapText="1"/>
      <protection locked="0"/>
    </xf>
    <xf numFmtId="0" fontId="13" fillId="2" borderId="0" xfId="0" applyFont="1" applyFill="1" applyAlignment="1" applyProtection="1">
      <alignment horizontal="left" vertical="center" wrapText="1"/>
    </xf>
    <xf numFmtId="0" fontId="0" fillId="0" borderId="0" xfId="0" applyAlignment="1" applyProtection="1">
      <alignment horizontal="left" vertical="center" wrapText="1"/>
    </xf>
    <xf numFmtId="0" fontId="0" fillId="4" borderId="19" xfId="0" applyFill="1" applyBorder="1" applyAlignment="1" applyProtection="1">
      <alignment vertical="center"/>
      <protection locked="0"/>
    </xf>
    <xf numFmtId="0" fontId="33" fillId="0" borderId="81" xfId="0" applyFont="1" applyFill="1" applyBorder="1" applyAlignment="1" applyProtection="1">
      <alignment horizontal="center" shrinkToFit="1"/>
    </xf>
    <xf numFmtId="0" fontId="33" fillId="0" borderId="88" xfId="0" applyFont="1" applyFill="1" applyBorder="1" applyAlignment="1" applyProtection="1">
      <alignment horizontal="center" shrinkToFit="1"/>
    </xf>
    <xf numFmtId="0" fontId="33" fillId="0" borderId="14" xfId="0" applyFont="1" applyFill="1" applyBorder="1" applyAlignment="1" applyProtection="1">
      <alignment horizontal="center" shrinkToFit="1"/>
    </xf>
    <xf numFmtId="0" fontId="59" fillId="2" borderId="0" xfId="0" applyFont="1" applyFill="1" applyAlignment="1" applyProtection="1">
      <alignment horizontal="left" vertical="top" wrapText="1"/>
    </xf>
    <xf numFmtId="0" fontId="16" fillId="2" borderId="0" xfId="0" applyFont="1" applyFill="1" applyAlignment="1" applyProtection="1">
      <alignment horizontal="left" vertical="top"/>
    </xf>
    <xf numFmtId="3" fontId="1" fillId="4" borderId="30" xfId="0" applyNumberFormat="1" applyFont="1" applyFill="1" applyBorder="1" applyAlignment="1" applyProtection="1">
      <alignment horizontal="center" vertical="center"/>
      <protection locked="0"/>
    </xf>
    <xf numFmtId="3" fontId="1" fillId="4" borderId="29" xfId="0" applyNumberFormat="1" applyFont="1" applyFill="1" applyBorder="1" applyAlignment="1" applyProtection="1">
      <alignment horizontal="center" vertical="center"/>
      <protection locked="0"/>
    </xf>
    <xf numFmtId="0" fontId="31" fillId="2" borderId="0" xfId="0" applyFont="1" applyFill="1" applyAlignment="1" applyProtection="1">
      <alignment horizontal="center" vertical="center" wrapText="1"/>
    </xf>
    <xf numFmtId="0" fontId="32" fillId="2" borderId="0" xfId="0" applyFont="1" applyFill="1" applyAlignment="1" applyProtection="1">
      <alignment horizontal="center" vertical="center"/>
    </xf>
    <xf numFmtId="0" fontId="7" fillId="0" borderId="0" xfId="0" applyFont="1" applyAlignment="1" applyProtection="1">
      <alignment horizontal="center" vertical="center"/>
    </xf>
    <xf numFmtId="0" fontId="0" fillId="4" borderId="19" xfId="0" applyFill="1" applyBorder="1" applyAlignment="1" applyProtection="1">
      <protection locked="0"/>
    </xf>
    <xf numFmtId="166" fontId="16" fillId="3" borderId="10" xfId="0" applyNumberFormat="1" applyFont="1" applyFill="1" applyBorder="1" applyAlignment="1" applyProtection="1">
      <alignment horizontal="center" vertical="center" wrapText="1"/>
    </xf>
    <xf numFmtId="166" fontId="16" fillId="3" borderId="23" xfId="0" applyNumberFormat="1" applyFont="1" applyFill="1" applyBorder="1" applyAlignment="1" applyProtection="1">
      <alignment horizontal="center" vertical="center" wrapText="1"/>
    </xf>
    <xf numFmtId="2" fontId="45" fillId="3" borderId="10" xfId="0" applyNumberFormat="1" applyFont="1" applyFill="1" applyBorder="1" applyAlignment="1" applyProtection="1">
      <alignment horizontal="center" vertical="center"/>
      <protection hidden="1"/>
    </xf>
    <xf numFmtId="2" fontId="45" fillId="3" borderId="0" xfId="0" applyNumberFormat="1" applyFont="1" applyFill="1" applyBorder="1" applyAlignment="1" applyProtection="1">
      <alignment horizontal="center" vertical="center"/>
      <protection hidden="1"/>
    </xf>
    <xf numFmtId="2" fontId="45" fillId="3" borderId="23" xfId="0" applyNumberFormat="1" applyFont="1" applyFill="1" applyBorder="1" applyAlignment="1" applyProtection="1">
      <alignment horizontal="center" vertical="center"/>
      <protection hidden="1"/>
    </xf>
    <xf numFmtId="0" fontId="13" fillId="2" borderId="0" xfId="0" applyFont="1" applyFill="1" applyAlignment="1" applyProtection="1">
      <alignment horizontal="left" wrapText="1"/>
    </xf>
    <xf numFmtId="0" fontId="8" fillId="2" borderId="77" xfId="2" applyFont="1" applyFill="1" applyBorder="1" applyAlignment="1" applyProtection="1">
      <alignment horizontal="center" vertical="center" wrapText="1"/>
    </xf>
    <xf numFmtId="0" fontId="8" fillId="2" borderId="77" xfId="2" applyFill="1" applyBorder="1" applyAlignment="1" applyProtection="1">
      <alignment horizontal="center" vertical="center" wrapText="1"/>
    </xf>
    <xf numFmtId="0" fontId="1" fillId="2" borderId="76" xfId="0" applyFont="1" applyFill="1" applyBorder="1" applyAlignment="1" applyProtection="1">
      <alignment horizontal="left" vertical="center" wrapText="1"/>
    </xf>
    <xf numFmtId="0" fontId="0" fillId="2" borderId="76"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16" fillId="0" borderId="19" xfId="0" applyFont="1" applyFill="1" applyBorder="1" applyAlignment="1" applyProtection="1">
      <alignment horizontal="center" vertical="center" shrinkToFit="1"/>
      <protection hidden="1"/>
    </xf>
    <xf numFmtId="0" fontId="3" fillId="0" borderId="81" xfId="0" applyFont="1" applyFill="1" applyBorder="1" applyAlignment="1" applyProtection="1">
      <alignment horizontal="left" vertical="center" wrapText="1"/>
      <protection hidden="1"/>
    </xf>
    <xf numFmtId="0" fontId="3" fillId="0" borderId="88" xfId="0" applyFont="1" applyFill="1" applyBorder="1" applyAlignment="1" applyProtection="1">
      <alignment horizontal="left" vertical="center" wrapText="1"/>
      <protection hidden="1"/>
    </xf>
    <xf numFmtId="0" fontId="3" fillId="0" borderId="14" xfId="0" applyFont="1" applyFill="1" applyBorder="1" applyAlignment="1" applyProtection="1">
      <alignment horizontal="left" vertical="center" wrapText="1"/>
      <protection hidden="1"/>
    </xf>
    <xf numFmtId="0" fontId="1" fillId="2" borderId="0" xfId="0" applyFont="1" applyFill="1" applyAlignment="1" applyProtection="1">
      <alignment horizontal="left" vertical="top"/>
      <protection hidden="1"/>
    </xf>
    <xf numFmtId="0" fontId="0" fillId="4" borderId="81" xfId="0" applyFill="1" applyBorder="1" applyAlignment="1" applyProtection="1">
      <alignment horizontal="center"/>
      <protection locked="0"/>
    </xf>
    <xf numFmtId="0" fontId="0" fillId="4" borderId="14" xfId="0" applyFill="1" applyBorder="1" applyAlignment="1" applyProtection="1">
      <alignment horizontal="center"/>
      <protection locked="0"/>
    </xf>
    <xf numFmtId="0" fontId="3" fillId="0" borderId="81" xfId="0" applyFont="1" applyFill="1" applyBorder="1" applyAlignment="1" applyProtection="1">
      <alignment horizontal="center" vertical="center" wrapText="1"/>
      <protection hidden="1"/>
    </xf>
    <xf numFmtId="0" fontId="3" fillId="0" borderId="14" xfId="0" applyFont="1" applyFill="1" applyBorder="1" applyAlignment="1" applyProtection="1">
      <alignment horizontal="center" vertical="center" wrapText="1"/>
      <protection hidden="1"/>
    </xf>
    <xf numFmtId="0" fontId="1" fillId="0" borderId="81" xfId="0" applyFont="1" applyFill="1" applyBorder="1" applyAlignment="1" applyProtection="1">
      <alignment horizontal="left" vertical="center"/>
      <protection hidden="1"/>
    </xf>
    <xf numFmtId="0" fontId="1" fillId="0" borderId="88" xfId="0" applyFont="1" applyFill="1" applyBorder="1" applyAlignment="1" applyProtection="1">
      <alignment horizontal="left" vertical="center"/>
      <protection hidden="1"/>
    </xf>
    <xf numFmtId="0" fontId="1" fillId="0" borderId="14" xfId="0" applyFont="1" applyFill="1" applyBorder="1" applyAlignment="1" applyProtection="1">
      <alignment horizontal="left" vertical="center"/>
      <protection hidden="1"/>
    </xf>
    <xf numFmtId="0" fontId="3" fillId="0" borderId="19" xfId="0" applyFont="1" applyFill="1" applyBorder="1" applyAlignment="1" applyProtection="1">
      <alignment horizontal="left" vertical="center" wrapText="1"/>
      <protection hidden="1"/>
    </xf>
    <xf numFmtId="0" fontId="13" fillId="2" borderId="0" xfId="0" applyFont="1" applyFill="1" applyBorder="1" applyAlignment="1" applyProtection="1">
      <alignment horizontal="center"/>
      <protection hidden="1"/>
    </xf>
    <xf numFmtId="0" fontId="13" fillId="2" borderId="0" xfId="0" applyFont="1" applyFill="1" applyBorder="1" applyAlignment="1" applyProtection="1">
      <alignment horizontal="left"/>
      <protection hidden="1"/>
    </xf>
    <xf numFmtId="0" fontId="1" fillId="2" borderId="0" xfId="0" applyFont="1" applyFill="1" applyAlignment="1" applyProtection="1">
      <alignment horizontal="left" vertical="center" wrapText="1"/>
      <protection hidden="1"/>
    </xf>
    <xf numFmtId="0" fontId="3" fillId="6" borderId="12" xfId="0" applyFont="1" applyFill="1" applyBorder="1" applyAlignment="1" applyProtection="1">
      <alignment horizontal="center" vertical="center" wrapText="1"/>
      <protection hidden="1"/>
    </xf>
    <xf numFmtId="0" fontId="16" fillId="0" borderId="81" xfId="0" applyFont="1" applyFill="1" applyBorder="1" applyAlignment="1" applyProtection="1">
      <alignment horizontal="center" vertical="center" shrinkToFit="1"/>
      <protection hidden="1"/>
    </xf>
    <xf numFmtId="0" fontId="16" fillId="0" borderId="88" xfId="0" applyFont="1" applyFill="1" applyBorder="1" applyAlignment="1" applyProtection="1">
      <alignment horizontal="center" vertical="center" shrinkToFit="1"/>
      <protection hidden="1"/>
    </xf>
    <xf numFmtId="0" fontId="16" fillId="0" borderId="14" xfId="0" applyFont="1" applyFill="1" applyBorder="1" applyAlignment="1" applyProtection="1">
      <alignment horizontal="center" vertical="center" shrinkToFit="1"/>
      <protection hidden="1"/>
    </xf>
    <xf numFmtId="0" fontId="70" fillId="7" borderId="76" xfId="0" applyFont="1" applyFill="1" applyBorder="1" applyAlignment="1" applyProtection="1">
      <alignment horizontal="center" vertical="top" wrapText="1"/>
    </xf>
    <xf numFmtId="0" fontId="70" fillId="7" borderId="0" xfId="0" applyFont="1" applyFill="1" applyBorder="1" applyAlignment="1" applyProtection="1">
      <alignment horizontal="center" vertical="top" wrapText="1"/>
    </xf>
    <xf numFmtId="0" fontId="70" fillId="7" borderId="104" xfId="0" applyFont="1" applyFill="1" applyBorder="1" applyAlignment="1" applyProtection="1">
      <alignment horizontal="center" vertical="top" wrapText="1"/>
    </xf>
    <xf numFmtId="0" fontId="70" fillId="9" borderId="76" xfId="0" applyFont="1" applyFill="1" applyBorder="1" applyAlignment="1" applyProtection="1">
      <alignment horizontal="center" vertical="top" wrapText="1"/>
    </xf>
    <xf numFmtId="0" fontId="70" fillId="9" borderId="0" xfId="0" applyFont="1" applyFill="1" applyBorder="1" applyAlignment="1" applyProtection="1">
      <alignment horizontal="center" vertical="top" wrapText="1"/>
    </xf>
    <xf numFmtId="0" fontId="1" fillId="6" borderId="0" xfId="0" applyFont="1" applyFill="1" applyBorder="1" applyAlignment="1" applyProtection="1">
      <alignment horizontal="center" vertical="top" wrapText="1"/>
      <protection hidden="1"/>
    </xf>
    <xf numFmtId="0" fontId="13" fillId="6" borderId="0" xfId="0" applyFont="1" applyFill="1" applyBorder="1" applyAlignment="1" applyProtection="1">
      <alignment horizontal="center" vertical="center" wrapText="1"/>
      <protection hidden="1"/>
    </xf>
    <xf numFmtId="164" fontId="16" fillId="0" borderId="17" xfId="0" applyNumberFormat="1" applyFont="1" applyFill="1" applyBorder="1" applyAlignment="1" applyProtection="1">
      <alignment horizontal="center" vertical="center"/>
      <protection hidden="1"/>
    </xf>
    <xf numFmtId="164" fontId="16" fillId="0" borderId="18" xfId="0" applyNumberFormat="1" applyFont="1" applyFill="1" applyBorder="1" applyAlignment="1" applyProtection="1">
      <alignment horizontal="center" vertical="center"/>
      <protection hidden="1"/>
    </xf>
    <xf numFmtId="0" fontId="1" fillId="2" borderId="0" xfId="0" applyFont="1" applyFill="1" applyBorder="1" applyAlignment="1" applyProtection="1">
      <alignment horizontal="left" vertical="center" wrapText="1"/>
      <protection hidden="1"/>
    </xf>
    <xf numFmtId="0" fontId="1" fillId="2" borderId="23" xfId="0" applyFont="1" applyFill="1" applyBorder="1" applyAlignment="1" applyProtection="1">
      <alignment horizontal="left" vertical="center" wrapText="1"/>
      <protection hidden="1"/>
    </xf>
    <xf numFmtId="0" fontId="33" fillId="0" borderId="81" xfId="0" applyFont="1" applyFill="1" applyBorder="1" applyAlignment="1" applyProtection="1">
      <alignment horizontal="center" shrinkToFit="1"/>
      <protection hidden="1"/>
    </xf>
    <xf numFmtId="0" fontId="33" fillId="0" borderId="88" xfId="0" applyFont="1" applyFill="1" applyBorder="1" applyAlignment="1" applyProtection="1">
      <alignment horizontal="center" shrinkToFit="1"/>
      <protection hidden="1"/>
    </xf>
    <xf numFmtId="0" fontId="33" fillId="0" borderId="14" xfId="0" applyFont="1" applyFill="1" applyBorder="1" applyAlignment="1" applyProtection="1">
      <alignment horizontal="center" shrinkToFit="1"/>
      <protection hidden="1"/>
    </xf>
    <xf numFmtId="0" fontId="0" fillId="2" borderId="0" xfId="0" applyFill="1" applyAlignment="1" applyProtection="1">
      <alignment horizontal="left" vertical="center" wrapText="1"/>
      <protection hidden="1"/>
    </xf>
    <xf numFmtId="0" fontId="0" fillId="2" borderId="5" xfId="0" applyFill="1" applyBorder="1" applyAlignment="1" applyProtection="1">
      <alignment horizontal="left" vertical="center" wrapText="1"/>
      <protection hidden="1"/>
    </xf>
    <xf numFmtId="0" fontId="13" fillId="2" borderId="0" xfId="0" applyFont="1" applyFill="1" applyAlignment="1" applyProtection="1">
      <alignment horizontal="center" vertical="center" shrinkToFit="1"/>
      <protection hidden="1"/>
    </xf>
    <xf numFmtId="0" fontId="1" fillId="2" borderId="0" xfId="0" applyFont="1" applyFill="1" applyAlignment="1" applyProtection="1">
      <alignment horizontal="left" wrapText="1"/>
      <protection hidden="1"/>
    </xf>
    <xf numFmtId="0" fontId="19" fillId="2" borderId="0" xfId="0" applyFont="1" applyFill="1" applyAlignment="1" applyProtection="1">
      <alignment horizontal="left" vertical="center" wrapText="1" shrinkToFit="1"/>
      <protection hidden="1"/>
    </xf>
    <xf numFmtId="0" fontId="54" fillId="2" borderId="0" xfId="0" applyFont="1" applyFill="1" applyAlignment="1" applyProtection="1">
      <alignment horizontal="left" vertical="center" wrapText="1" shrinkToFit="1"/>
      <protection hidden="1"/>
    </xf>
    <xf numFmtId="0" fontId="4" fillId="2" borderId="0" xfId="0" applyFont="1" applyFill="1" applyAlignment="1" applyProtection="1">
      <alignment horizontal="left" vertical="center" wrapText="1"/>
      <protection hidden="1"/>
    </xf>
    <xf numFmtId="0" fontId="1" fillId="2" borderId="5" xfId="0" applyFont="1" applyFill="1" applyBorder="1" applyAlignment="1" applyProtection="1">
      <alignment horizontal="left" wrapText="1"/>
      <protection hidden="1"/>
    </xf>
    <xf numFmtId="0" fontId="1" fillId="2" borderId="0" xfId="0" applyFont="1" applyFill="1" applyAlignment="1" applyProtection="1">
      <alignment horizontal="left" vertical="top" wrapText="1"/>
      <protection hidden="1"/>
    </xf>
    <xf numFmtId="0" fontId="1" fillId="2" borderId="5" xfId="0" applyFont="1" applyFill="1" applyBorder="1" applyAlignment="1" applyProtection="1">
      <alignment horizontal="left" vertical="top" wrapText="1"/>
      <protection hidden="1"/>
    </xf>
    <xf numFmtId="0" fontId="59" fillId="2" borderId="0" xfId="0" applyFont="1" applyFill="1" applyAlignment="1" applyProtection="1">
      <alignment horizontal="center" vertical="center" wrapText="1"/>
      <protection hidden="1"/>
    </xf>
    <xf numFmtId="0" fontId="59" fillId="2" borderId="0" xfId="0" applyFont="1" applyFill="1" applyAlignment="1" applyProtection="1">
      <alignment horizontal="center" wrapText="1"/>
      <protection hidden="1"/>
    </xf>
    <xf numFmtId="3" fontId="3" fillId="0" borderId="30" xfId="0" quotePrefix="1" applyNumberFormat="1" applyFont="1" applyFill="1" applyBorder="1" applyAlignment="1" applyProtection="1">
      <alignment horizontal="center" vertical="center"/>
      <protection hidden="1"/>
    </xf>
    <xf numFmtId="3" fontId="3" fillId="0" borderId="29" xfId="0" quotePrefix="1" applyNumberFormat="1" applyFont="1" applyFill="1" applyBorder="1" applyAlignment="1" applyProtection="1">
      <alignment horizontal="center" vertical="center"/>
      <protection hidden="1"/>
    </xf>
    <xf numFmtId="0" fontId="1" fillId="2" borderId="0" xfId="0" applyFont="1" applyFill="1" applyBorder="1" applyAlignment="1" applyProtection="1">
      <alignment horizontal="left" wrapText="1"/>
      <protection hidden="1"/>
    </xf>
    <xf numFmtId="0" fontId="0" fillId="4" borderId="81"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4" fontId="0" fillId="0" borderId="81" xfId="0" applyNumberFormat="1" applyFill="1" applyBorder="1" applyAlignment="1" applyProtection="1">
      <alignment horizontal="center" vertical="center"/>
    </xf>
    <xf numFmtId="4" fontId="0" fillId="0" borderId="14" xfId="0" applyNumberFormat="1" applyFill="1" applyBorder="1" applyAlignment="1" applyProtection="1">
      <alignment horizontal="center" vertical="center"/>
    </xf>
    <xf numFmtId="0" fontId="1" fillId="2" borderId="0" xfId="0" applyFont="1" applyFill="1" applyBorder="1" applyAlignment="1" applyProtection="1">
      <alignment horizontal="left"/>
      <protection hidden="1"/>
    </xf>
    <xf numFmtId="0" fontId="1" fillId="2" borderId="5" xfId="0" applyFont="1" applyFill="1" applyBorder="1" applyAlignment="1" applyProtection="1">
      <alignment horizontal="left"/>
      <protection hidden="1"/>
    </xf>
    <xf numFmtId="8" fontId="1" fillId="2" borderId="0" xfId="0" applyNumberFormat="1" applyFont="1" applyFill="1" applyBorder="1" applyAlignment="1" applyProtection="1">
      <alignment horizontal="center" vertical="center"/>
      <protection hidden="1"/>
    </xf>
    <xf numFmtId="8" fontId="1" fillId="2" borderId="23" xfId="0" applyNumberFormat="1" applyFont="1" applyFill="1" applyBorder="1" applyAlignment="1" applyProtection="1">
      <alignment horizontal="center" vertical="center"/>
      <protection hidden="1"/>
    </xf>
    <xf numFmtId="0" fontId="25" fillId="4" borderId="81" xfId="0" applyFont="1" applyFill="1" applyBorder="1" applyAlignment="1" applyProtection="1">
      <alignment horizontal="center" vertical="center"/>
      <protection locked="0"/>
    </xf>
    <xf numFmtId="0" fontId="25" fillId="4" borderId="14" xfId="0" applyFont="1" applyFill="1" applyBorder="1" applyAlignment="1" applyProtection="1">
      <alignment horizontal="center" vertical="center"/>
      <protection locked="0"/>
    </xf>
    <xf numFmtId="0" fontId="25" fillId="0" borderId="81" xfId="0" applyFont="1" applyFill="1" applyBorder="1" applyAlignment="1" applyProtection="1">
      <alignment horizontal="center"/>
    </xf>
    <xf numFmtId="0" fontId="25" fillId="0" borderId="14" xfId="0" applyFont="1" applyFill="1" applyBorder="1" applyAlignment="1" applyProtection="1">
      <alignment horizontal="center"/>
    </xf>
    <xf numFmtId="0" fontId="1" fillId="2" borderId="0" xfId="0" applyFont="1" applyFill="1" applyBorder="1" applyAlignment="1" applyProtection="1">
      <alignment horizontal="right"/>
      <protection hidden="1"/>
    </xf>
    <xf numFmtId="0" fontId="1" fillId="2" borderId="5" xfId="0" applyFont="1" applyFill="1" applyBorder="1" applyAlignment="1" applyProtection="1">
      <alignment horizontal="right"/>
      <protection hidden="1"/>
    </xf>
    <xf numFmtId="0" fontId="0" fillId="2" borderId="79" xfId="0" applyFill="1" applyBorder="1" applyAlignment="1" applyProtection="1">
      <alignment horizontal="right" vertical="top" wrapText="1" indent="1"/>
      <protection hidden="1"/>
    </xf>
    <xf numFmtId="0" fontId="0" fillId="2" borderId="0" xfId="0" applyFill="1" applyBorder="1" applyAlignment="1" applyProtection="1">
      <alignment horizontal="right" vertical="top" wrapText="1" indent="1"/>
      <protection hidden="1"/>
    </xf>
    <xf numFmtId="0" fontId="0" fillId="2" borderId="5" xfId="0" applyFill="1" applyBorder="1" applyAlignment="1" applyProtection="1">
      <alignment horizontal="right" vertical="top" wrapText="1" indent="1"/>
      <protection hidden="1"/>
    </xf>
    <xf numFmtId="3" fontId="4" fillId="5" borderId="81" xfId="0" applyNumberFormat="1" applyFont="1" applyFill="1" applyBorder="1" applyAlignment="1" applyProtection="1">
      <alignment horizontal="center" vertical="center"/>
      <protection locked="0"/>
    </xf>
    <xf numFmtId="3" fontId="4" fillId="5" borderId="14" xfId="0" applyNumberFormat="1" applyFont="1" applyFill="1" applyBorder="1" applyAlignment="1" applyProtection="1">
      <alignment horizontal="center" vertical="center"/>
      <protection locked="0"/>
    </xf>
    <xf numFmtId="4" fontId="4" fillId="3" borderId="17" xfId="0" applyNumberFormat="1" applyFont="1" applyFill="1" applyBorder="1" applyAlignment="1" applyProtection="1">
      <alignment horizontal="center" vertical="center"/>
      <protection hidden="1"/>
    </xf>
    <xf numFmtId="4" fontId="4" fillId="3" borderId="18" xfId="0" applyNumberFormat="1" applyFont="1" applyFill="1" applyBorder="1" applyAlignment="1" applyProtection="1">
      <alignment horizontal="center" vertical="center"/>
      <protection hidden="1"/>
    </xf>
    <xf numFmtId="0" fontId="3" fillId="2" borderId="0" xfId="0" applyFont="1" applyFill="1" applyAlignment="1" applyProtection="1">
      <alignment horizontal="right" wrapText="1" indent="1"/>
      <protection hidden="1"/>
    </xf>
    <xf numFmtId="0" fontId="3" fillId="2" borderId="5" xfId="0" applyFont="1" applyFill="1" applyBorder="1" applyAlignment="1" applyProtection="1">
      <alignment horizontal="right" wrapText="1" indent="1"/>
      <protection hidden="1"/>
    </xf>
    <xf numFmtId="0" fontId="63" fillId="2" borderId="77" xfId="0" applyFont="1" applyFill="1" applyBorder="1" applyAlignment="1" applyProtection="1">
      <alignment horizontal="center" vertical="center" wrapText="1"/>
      <protection hidden="1"/>
    </xf>
    <xf numFmtId="0" fontId="63" fillId="2" borderId="0" xfId="0" applyFont="1" applyFill="1" applyBorder="1" applyAlignment="1" applyProtection="1">
      <alignment horizontal="center" wrapText="1"/>
      <protection hidden="1"/>
    </xf>
    <xf numFmtId="0" fontId="0" fillId="2" borderId="0" xfId="0" applyFill="1" applyBorder="1" applyAlignment="1" applyProtection="1">
      <alignment horizontal="left" vertical="center" wrapText="1"/>
      <protection hidden="1"/>
    </xf>
    <xf numFmtId="0" fontId="6" fillId="2" borderId="0" xfId="0" applyFont="1" applyFill="1" applyBorder="1" applyAlignment="1" applyProtection="1">
      <alignment horizontal="left" vertical="center" wrapText="1"/>
      <protection hidden="1"/>
    </xf>
    <xf numFmtId="0" fontId="16" fillId="3" borderId="81" xfId="0" applyFont="1" applyFill="1" applyBorder="1" applyAlignment="1" applyProtection="1">
      <alignment horizontal="center" vertical="center" shrinkToFit="1"/>
      <protection hidden="1"/>
    </xf>
    <xf numFmtId="0" fontId="16" fillId="3" borderId="88" xfId="0" applyFont="1" applyFill="1" applyBorder="1" applyAlignment="1" applyProtection="1">
      <alignment horizontal="center" vertical="center" shrinkToFit="1"/>
      <protection hidden="1"/>
    </xf>
    <xf numFmtId="0" fontId="16" fillId="3" borderId="14" xfId="0" applyFont="1" applyFill="1" applyBorder="1" applyAlignment="1" applyProtection="1">
      <alignment horizontal="center" vertical="center" shrinkToFit="1"/>
      <protection hidden="1"/>
    </xf>
    <xf numFmtId="0" fontId="31" fillId="2" borderId="0" xfId="0" applyFont="1" applyFill="1" applyAlignment="1" applyProtection="1">
      <alignment horizontal="center" vertical="center" wrapText="1"/>
      <protection hidden="1"/>
    </xf>
    <xf numFmtId="0" fontId="5" fillId="2" borderId="0" xfId="0" applyFont="1" applyFill="1" applyAlignment="1" applyProtection="1">
      <alignment horizontal="left" wrapText="1"/>
      <protection hidden="1"/>
    </xf>
    <xf numFmtId="0" fontId="1" fillId="2" borderId="5" xfId="0" applyFont="1" applyFill="1" applyBorder="1" applyAlignment="1" applyProtection="1">
      <alignment horizontal="left" vertical="center" wrapText="1"/>
      <protection hidden="1"/>
    </xf>
    <xf numFmtId="0" fontId="1" fillId="2" borderId="0" xfId="0" applyFont="1" applyFill="1" applyBorder="1" applyAlignment="1" applyProtection="1">
      <alignment horizontal="left" vertical="top" wrapText="1"/>
      <protection hidden="1"/>
    </xf>
    <xf numFmtId="4" fontId="0" fillId="0" borderId="81" xfId="0" applyNumberFormat="1" applyFill="1" applyBorder="1" applyAlignment="1" applyProtection="1">
      <alignment horizontal="center" vertical="center"/>
      <protection hidden="1"/>
    </xf>
    <xf numFmtId="4" fontId="0" fillId="0" borderId="14" xfId="0" applyNumberFormat="1" applyFill="1" applyBorder="1" applyAlignment="1" applyProtection="1">
      <alignment horizontal="center" vertical="center"/>
      <protection hidden="1"/>
    </xf>
    <xf numFmtId="0" fontId="0" fillId="2" borderId="0" xfId="0" applyFill="1" applyBorder="1" applyAlignment="1" applyProtection="1">
      <alignment horizontal="left" wrapText="1"/>
      <protection hidden="1"/>
    </xf>
    <xf numFmtId="0" fontId="0" fillId="2" borderId="0" xfId="0" applyFill="1" applyBorder="1" applyAlignment="1" applyProtection="1">
      <alignment horizontal="center" wrapText="1"/>
      <protection hidden="1"/>
    </xf>
    <xf numFmtId="0" fontId="4" fillId="2" borderId="0" xfId="0" applyFont="1" applyFill="1" applyBorder="1" applyAlignment="1" applyProtection="1">
      <alignment horizontal="center" wrapText="1"/>
      <protection hidden="1"/>
    </xf>
    <xf numFmtId="0" fontId="4" fillId="2" borderId="0" xfId="0" applyFont="1" applyFill="1" applyBorder="1" applyAlignment="1" applyProtection="1">
      <alignment horizontal="center"/>
      <protection hidden="1"/>
    </xf>
    <xf numFmtId="0" fontId="0" fillId="0" borderId="81" xfId="0" applyFill="1" applyBorder="1" applyAlignment="1" applyProtection="1">
      <alignment horizontal="center" vertical="center"/>
      <protection hidden="1"/>
    </xf>
    <xf numFmtId="0" fontId="0" fillId="0" borderId="14" xfId="0" applyFill="1" applyBorder="1" applyAlignment="1" applyProtection="1">
      <alignment horizontal="center" vertical="center"/>
      <protection hidden="1"/>
    </xf>
    <xf numFmtId="0" fontId="3" fillId="2" borderId="0" xfId="0" applyFont="1" applyFill="1" applyBorder="1" applyAlignment="1" applyProtection="1">
      <alignment horizontal="center" wrapText="1"/>
      <protection hidden="1"/>
    </xf>
    <xf numFmtId="0" fontId="25" fillId="4" borderId="81" xfId="0" applyFont="1" applyFill="1" applyBorder="1" applyAlignment="1" applyProtection="1">
      <alignment horizontal="center"/>
      <protection locked="0"/>
    </xf>
    <xf numFmtId="0" fontId="25" fillId="4" borderId="14" xfId="0" applyFont="1" applyFill="1" applyBorder="1" applyAlignment="1" applyProtection="1">
      <alignment horizontal="center"/>
      <protection locked="0"/>
    </xf>
    <xf numFmtId="0" fontId="1" fillId="2" borderId="0" xfId="0" applyFont="1" applyFill="1" applyBorder="1" applyAlignment="1" applyProtection="1">
      <alignment horizontal="right" vertical="center"/>
      <protection hidden="1"/>
    </xf>
    <xf numFmtId="0" fontId="1" fillId="2" borderId="5" xfId="0" applyFont="1" applyFill="1" applyBorder="1" applyAlignment="1" applyProtection="1">
      <alignment horizontal="right" vertical="center"/>
      <protection hidden="1"/>
    </xf>
    <xf numFmtId="4" fontId="4" fillId="3" borderId="17" xfId="0" applyNumberFormat="1" applyFont="1" applyFill="1" applyBorder="1" applyAlignment="1" applyProtection="1">
      <alignment horizontal="center"/>
      <protection hidden="1"/>
    </xf>
    <xf numFmtId="4" fontId="4" fillId="3" borderId="18" xfId="0" applyNumberFormat="1" applyFont="1" applyFill="1" applyBorder="1" applyAlignment="1" applyProtection="1">
      <alignment horizontal="center"/>
      <protection hidden="1"/>
    </xf>
    <xf numFmtId="0" fontId="33" fillId="0" borderId="81" xfId="0" applyFont="1" applyFill="1" applyBorder="1" applyAlignment="1" applyProtection="1">
      <alignment horizontal="center" vertical="center" shrinkToFit="1"/>
      <protection hidden="1"/>
    </xf>
    <xf numFmtId="0" fontId="0" fillId="0" borderId="88" xfId="0" applyBorder="1" applyProtection="1">
      <protection hidden="1"/>
    </xf>
    <xf numFmtId="0" fontId="0" fillId="0" borderId="14" xfId="0" applyBorder="1" applyProtection="1">
      <protection hidden="1"/>
    </xf>
    <xf numFmtId="166" fontId="0" fillId="2" borderId="0" xfId="0" applyNumberFormat="1" applyFill="1" applyBorder="1" applyAlignment="1" applyProtection="1">
      <protection hidden="1"/>
    </xf>
    <xf numFmtId="0" fontId="0" fillId="2" borderId="0" xfId="0" applyFill="1" applyBorder="1" applyAlignment="1" applyProtection="1">
      <protection hidden="1"/>
    </xf>
    <xf numFmtId="3" fontId="4" fillId="4" borderId="17" xfId="0" applyNumberFormat="1" applyFont="1" applyFill="1" applyBorder="1" applyAlignment="1" applyProtection="1">
      <alignment horizontal="center"/>
      <protection locked="0"/>
    </xf>
    <xf numFmtId="3" fontId="4" fillId="4" borderId="18" xfId="0" applyNumberFormat="1" applyFont="1" applyFill="1" applyBorder="1" applyAlignment="1" applyProtection="1">
      <alignment horizontal="center"/>
      <protection locked="0"/>
    </xf>
    <xf numFmtId="166" fontId="8" fillId="2" borderId="0" xfId="2" applyNumberFormat="1" applyFill="1" applyAlignment="1" applyProtection="1">
      <alignment horizontal="center" vertical="center"/>
      <protection hidden="1"/>
    </xf>
    <xf numFmtId="166" fontId="39" fillId="2" borderId="0" xfId="0" applyNumberFormat="1" applyFont="1" applyFill="1" applyBorder="1" applyAlignment="1" applyProtection="1">
      <alignment horizontal="center" vertical="center" wrapText="1"/>
      <protection hidden="1"/>
    </xf>
    <xf numFmtId="0" fontId="5" fillId="0" borderId="79" xfId="0" applyFont="1" applyFill="1" applyBorder="1" applyAlignment="1" applyProtection="1">
      <alignment horizontal="center"/>
      <protection hidden="1"/>
    </xf>
    <xf numFmtId="0" fontId="5" fillId="0" borderId="23" xfId="0" applyFont="1" applyFill="1" applyBorder="1" applyAlignment="1" applyProtection="1">
      <alignment horizontal="center"/>
      <protection hidden="1"/>
    </xf>
    <xf numFmtId="0" fontId="5" fillId="0" borderId="89" xfId="0" applyFont="1" applyFill="1" applyBorder="1" applyAlignment="1" applyProtection="1">
      <alignment horizontal="center"/>
      <protection hidden="1"/>
    </xf>
    <xf numFmtId="0" fontId="5" fillId="0" borderId="9" xfId="0" applyFont="1" applyFill="1" applyBorder="1" applyAlignment="1" applyProtection="1">
      <alignment horizontal="center"/>
      <protection hidden="1"/>
    </xf>
    <xf numFmtId="0" fontId="16" fillId="0" borderId="17" xfId="0" applyFont="1" applyFill="1" applyBorder="1" applyAlignment="1" applyProtection="1">
      <alignment horizontal="left" vertical="center"/>
      <protection hidden="1"/>
    </xf>
    <xf numFmtId="0" fontId="16" fillId="0" borderId="32" xfId="0" applyFont="1" applyFill="1" applyBorder="1" applyAlignment="1" applyProtection="1">
      <alignment horizontal="left" vertical="center"/>
      <protection hidden="1"/>
    </xf>
    <xf numFmtId="0" fontId="16" fillId="0" borderId="18" xfId="0" applyFont="1" applyFill="1" applyBorder="1" applyAlignment="1" applyProtection="1">
      <alignment horizontal="left" vertical="center"/>
      <protection hidden="1"/>
    </xf>
    <xf numFmtId="0" fontId="16" fillId="0" borderId="17" xfId="0" applyFont="1" applyFill="1" applyBorder="1" applyAlignment="1" applyProtection="1">
      <alignment horizontal="center" vertical="center"/>
      <protection hidden="1"/>
    </xf>
    <xf numFmtId="0" fontId="16" fillId="0" borderId="18" xfId="0" applyFont="1" applyFill="1" applyBorder="1" applyAlignment="1" applyProtection="1">
      <alignment horizontal="center" vertical="center"/>
      <protection hidden="1"/>
    </xf>
    <xf numFmtId="0" fontId="5" fillId="0" borderId="87" xfId="0" applyFont="1" applyFill="1" applyBorder="1" applyAlignment="1" applyProtection="1">
      <alignment horizontal="center"/>
      <protection hidden="1"/>
    </xf>
    <xf numFmtId="0" fontId="5" fillId="0" borderId="88" xfId="0" applyFont="1" applyFill="1" applyBorder="1" applyAlignment="1" applyProtection="1">
      <alignment horizontal="center"/>
      <protection hidden="1"/>
    </xf>
    <xf numFmtId="0" fontId="5" fillId="0" borderId="63" xfId="0" applyFont="1" applyFill="1" applyBorder="1" applyAlignment="1" applyProtection="1">
      <alignment horizontal="center"/>
      <protection hidden="1"/>
    </xf>
    <xf numFmtId="3" fontId="5" fillId="0" borderId="87" xfId="0" applyNumberFormat="1" applyFont="1" applyFill="1" applyBorder="1" applyAlignment="1" applyProtection="1">
      <alignment horizontal="center"/>
      <protection hidden="1"/>
    </xf>
    <xf numFmtId="3" fontId="5" fillId="0" borderId="63" xfId="0" applyNumberFormat="1" applyFont="1" applyFill="1" applyBorder="1" applyAlignment="1" applyProtection="1">
      <alignment horizontal="center"/>
      <protection hidden="1"/>
    </xf>
    <xf numFmtId="0" fontId="4" fillId="0" borderId="87" xfId="0" applyFont="1" applyFill="1" applyBorder="1" applyAlignment="1" applyProtection="1">
      <alignment horizontal="center"/>
      <protection hidden="1"/>
    </xf>
    <xf numFmtId="0" fontId="4" fillId="0" borderId="88" xfId="0" applyFont="1" applyFill="1" applyBorder="1" applyAlignment="1" applyProtection="1">
      <alignment horizontal="center"/>
      <protection hidden="1"/>
    </xf>
    <xf numFmtId="0" fontId="4" fillId="0" borderId="63" xfId="0" applyFont="1" applyFill="1" applyBorder="1" applyAlignment="1" applyProtection="1">
      <alignment horizontal="center"/>
      <protection hidden="1"/>
    </xf>
    <xf numFmtId="0" fontId="16" fillId="0" borderId="17" xfId="0" applyFont="1" applyFill="1" applyBorder="1" applyAlignment="1" applyProtection="1">
      <alignment horizontal="left"/>
      <protection hidden="1"/>
    </xf>
    <xf numFmtId="0" fontId="16" fillId="0" borderId="32" xfId="0" applyFont="1" applyFill="1" applyBorder="1" applyAlignment="1" applyProtection="1">
      <alignment horizontal="left"/>
      <protection hidden="1"/>
    </xf>
    <xf numFmtId="0" fontId="16" fillId="0" borderId="18" xfId="0" applyFont="1" applyFill="1" applyBorder="1" applyAlignment="1" applyProtection="1">
      <alignment horizontal="left"/>
      <protection hidden="1"/>
    </xf>
    <xf numFmtId="0" fontId="5" fillId="0" borderId="17" xfId="0" applyFont="1" applyFill="1" applyBorder="1" applyAlignment="1" applyProtection="1">
      <alignment horizontal="center"/>
      <protection hidden="1"/>
    </xf>
    <xf numFmtId="0" fontId="5" fillId="0" borderId="18" xfId="0" applyFont="1" applyFill="1" applyBorder="1" applyAlignment="1" applyProtection="1">
      <alignment horizontal="center"/>
      <protection hidden="1"/>
    </xf>
    <xf numFmtId="3" fontId="5" fillId="0" borderId="17" xfId="0" applyNumberFormat="1" applyFont="1" applyFill="1" applyBorder="1" applyAlignment="1" applyProtection="1">
      <alignment horizontal="center"/>
      <protection hidden="1"/>
    </xf>
    <xf numFmtId="3" fontId="5" fillId="0" borderId="18" xfId="0" applyNumberFormat="1" applyFont="1" applyFill="1" applyBorder="1" applyAlignment="1" applyProtection="1">
      <alignment horizontal="center"/>
      <protection hidden="1"/>
    </xf>
    <xf numFmtId="0" fontId="4" fillId="0" borderId="38" xfId="0" applyFont="1" applyFill="1" applyBorder="1" applyAlignment="1" applyProtection="1">
      <alignment horizontal="center" vertical="center"/>
      <protection hidden="1"/>
    </xf>
    <xf numFmtId="0" fontId="4" fillId="0" borderId="37" xfId="0" applyFont="1" applyFill="1" applyBorder="1" applyAlignment="1" applyProtection="1">
      <alignment horizontal="center" vertical="center"/>
      <protection hidden="1"/>
    </xf>
    <xf numFmtId="0" fontId="3" fillId="0" borderId="90" xfId="0" applyFont="1" applyFill="1" applyBorder="1" applyAlignment="1" applyProtection="1">
      <alignment horizontal="center" vertical="center"/>
      <protection hidden="1"/>
    </xf>
    <xf numFmtId="0" fontId="4" fillId="0" borderId="86" xfId="0" applyFont="1" applyFill="1" applyBorder="1" applyAlignment="1" applyProtection="1">
      <alignment horizontal="center" vertical="center"/>
      <protection hidden="1"/>
    </xf>
    <xf numFmtId="0" fontId="4" fillId="0" borderId="91" xfId="0" applyFont="1" applyFill="1" applyBorder="1" applyAlignment="1" applyProtection="1">
      <alignment horizontal="center" vertical="center"/>
      <protection hidden="1"/>
    </xf>
    <xf numFmtId="0" fontId="4" fillId="0" borderId="27" xfId="0" applyFont="1" applyFill="1" applyBorder="1" applyAlignment="1" applyProtection="1">
      <alignment horizontal="center" vertical="center"/>
      <protection hidden="1"/>
    </xf>
    <xf numFmtId="0" fontId="4" fillId="0" borderId="51" xfId="0" applyFont="1" applyFill="1" applyBorder="1" applyAlignment="1" applyProtection="1">
      <alignment horizontal="center" vertical="center"/>
      <protection hidden="1"/>
    </xf>
    <xf numFmtId="0" fontId="13" fillId="2" borderId="76" xfId="0" applyFont="1" applyFill="1" applyBorder="1" applyAlignment="1" applyProtection="1">
      <alignment horizontal="center"/>
      <protection hidden="1"/>
    </xf>
    <xf numFmtId="0" fontId="8" fillId="2" borderId="76" xfId="2" applyFill="1" applyBorder="1" applyAlignment="1" applyProtection="1">
      <alignment horizontal="center" wrapText="1"/>
      <protection hidden="1"/>
    </xf>
    <xf numFmtId="0" fontId="8" fillId="2" borderId="0" xfId="2" applyFill="1" applyAlignment="1" applyProtection="1">
      <alignment horizontal="center" wrapText="1"/>
      <protection hidden="1"/>
    </xf>
    <xf numFmtId="0" fontId="0" fillId="0" borderId="0" xfId="0" applyBorder="1" applyAlignment="1">
      <alignment horizontal="center"/>
    </xf>
    <xf numFmtId="0" fontId="1" fillId="10" borderId="0" xfId="0" applyFont="1" applyFill="1" applyAlignment="1">
      <alignment horizontal="center" vertical="center" wrapText="1"/>
    </xf>
  </cellXfs>
  <cellStyles count="6">
    <cellStyle name="Comma" xfId="1" builtinId="3"/>
    <cellStyle name="Comma 2" xfId="5"/>
    <cellStyle name="Hyperlink" xfId="2" builtinId="8"/>
    <cellStyle name="Normal" xfId="0" builtinId="0"/>
    <cellStyle name="Normal 2" xfId="4"/>
    <cellStyle name="Normal_Primary" xfId="3"/>
  </cellStyles>
  <dxfs count="218">
    <dxf>
      <font>
        <color theme="0" tint="-0.24994659260841701"/>
      </font>
    </dxf>
    <dxf>
      <font>
        <color theme="0" tint="-0.24994659260841701"/>
      </font>
    </dxf>
    <dxf>
      <font>
        <color theme="0" tint="-0.24994659260841701"/>
      </font>
    </dxf>
    <dxf>
      <font>
        <color theme="0" tint="-0.24994659260841701"/>
      </font>
    </dxf>
    <dxf>
      <font>
        <condense val="0"/>
        <extend val="0"/>
        <color indexed="23"/>
      </font>
    </dxf>
    <dxf>
      <font>
        <condense val="0"/>
        <extend val="0"/>
        <color indexed="55"/>
      </font>
    </dxf>
    <dxf>
      <font>
        <color theme="0" tint="-0.24994659260841701"/>
      </font>
    </dxf>
    <dxf>
      <font>
        <color theme="0" tint="-0.24994659260841701"/>
      </font>
    </dxf>
    <dxf>
      <font>
        <color theme="0" tint="-0.24994659260841701"/>
      </font>
    </dxf>
    <dxf>
      <font>
        <color theme="0" tint="-0.24994659260841701"/>
      </font>
    </dxf>
    <dxf>
      <fill>
        <patternFill>
          <bgColor indexed="10"/>
        </patternFill>
      </fill>
    </dxf>
    <dxf>
      <fill>
        <patternFill>
          <bgColor indexed="10"/>
        </patternFill>
      </fill>
    </dxf>
    <dxf>
      <fill>
        <patternFill>
          <bgColor indexed="10"/>
        </patternFill>
      </fill>
    </dxf>
    <dxf>
      <fill>
        <patternFill>
          <bgColor rgb="FFFF00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43"/>
        </patternFill>
      </fill>
    </dxf>
    <dxf>
      <font>
        <b/>
        <i val="0"/>
        <color theme="0"/>
      </font>
      <fill>
        <patternFill>
          <bgColor rgb="FFFF0000"/>
        </patternFill>
      </fill>
    </dxf>
    <dxf>
      <font>
        <b/>
        <i val="0"/>
        <condense val="0"/>
        <extend val="0"/>
      </font>
      <fill>
        <patternFill>
          <bgColor indexed="44"/>
        </patternFill>
      </fill>
      <border>
        <left/>
        <right/>
        <top/>
        <bottom/>
      </border>
    </dxf>
    <dxf>
      <font>
        <b/>
        <i val="0"/>
        <condense val="0"/>
        <extend val="0"/>
      </font>
      <fill>
        <patternFill>
          <bgColor indexed="44"/>
        </patternFill>
      </fill>
      <border>
        <left/>
        <right/>
        <top/>
        <bottom/>
      </border>
    </dxf>
    <dxf>
      <font>
        <b/>
        <i val="0"/>
        <condense val="0"/>
        <extend val="0"/>
      </font>
    </dxf>
    <dxf>
      <fill>
        <patternFill>
          <bgColor indexed="44"/>
        </patternFill>
      </fill>
      <border>
        <left/>
        <right/>
        <top/>
        <bottom/>
      </border>
    </dxf>
    <dxf>
      <font>
        <b/>
        <i val="0"/>
        <condense val="0"/>
        <extend val="0"/>
        <color indexed="10"/>
      </font>
    </dxf>
    <dxf>
      <font>
        <b/>
        <i val="0"/>
        <condense val="0"/>
        <extend val="0"/>
        <color indexed="10"/>
      </font>
    </dxf>
    <dxf>
      <font>
        <b/>
        <i val="0"/>
        <condense val="0"/>
        <extend val="0"/>
        <color indexed="10"/>
      </font>
    </dxf>
    <dxf>
      <font>
        <b/>
        <i val="0"/>
        <condense val="0"/>
        <extend val="0"/>
      </font>
      <fill>
        <patternFill>
          <bgColor indexed="44"/>
        </patternFill>
      </fill>
      <border>
        <left/>
        <right/>
        <top/>
        <bottom/>
      </border>
    </dxf>
    <dxf>
      <font>
        <b/>
        <i val="0"/>
        <condense val="0"/>
        <extend val="0"/>
      </font>
      <fill>
        <patternFill>
          <bgColor indexed="44"/>
        </patternFill>
      </fill>
      <border>
        <left/>
        <right/>
        <top/>
        <bottom/>
      </border>
    </dxf>
    <dxf>
      <fill>
        <patternFill>
          <bgColor indexed="44"/>
        </patternFill>
      </fill>
      <border>
        <left/>
        <right/>
        <top/>
        <bottom/>
      </border>
    </dxf>
    <dxf>
      <font>
        <b/>
        <i val="0"/>
        <condense val="0"/>
        <extend val="0"/>
      </font>
    </dxf>
    <dxf>
      <font>
        <b/>
        <i val="0"/>
        <condense val="0"/>
        <extend val="0"/>
      </font>
    </dxf>
    <dxf>
      <font>
        <b/>
        <i val="0"/>
        <condense val="0"/>
        <extend val="0"/>
      </font>
    </dxf>
    <dxf>
      <fill>
        <patternFill patternType="none">
          <bgColor auto="1"/>
        </patternFill>
      </fill>
    </dxf>
    <dxf>
      <font>
        <color rgb="FFFF0000"/>
      </font>
    </dxf>
    <dxf>
      <font>
        <color rgb="FFFF0000"/>
      </font>
    </dxf>
    <dxf>
      <fill>
        <patternFill>
          <bgColor theme="9" tint="0.59996337778862885"/>
        </patternFill>
      </fill>
    </dxf>
    <dxf>
      <fill>
        <patternFill>
          <bgColor theme="9" tint="0.59996337778862885"/>
        </patternFill>
      </fill>
    </dxf>
    <dxf>
      <font>
        <condense val="0"/>
        <extend val="0"/>
        <color indexed="44"/>
      </font>
    </dxf>
    <dxf>
      <fill>
        <patternFill>
          <bgColor indexed="10"/>
        </patternFill>
      </fill>
    </dxf>
    <dxf>
      <fill>
        <patternFill>
          <bgColor indexed="10"/>
        </patternFill>
      </fill>
    </dxf>
    <dxf>
      <fill>
        <patternFill>
          <bgColor indexed="10"/>
        </patternFill>
      </fill>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12"/>
      </font>
    </dxf>
    <dxf>
      <font>
        <b/>
        <i val="0"/>
      </font>
      <fill>
        <patternFill>
          <bgColor rgb="FFFF0000"/>
        </patternFill>
      </fill>
    </dxf>
    <dxf>
      <font>
        <condense val="0"/>
        <extend val="0"/>
        <color indexed="44"/>
      </font>
    </dxf>
    <dxf>
      <font>
        <condense val="0"/>
        <extend val="0"/>
        <color indexed="12"/>
      </font>
    </dxf>
    <dxf>
      <fill>
        <patternFill>
          <bgColor indexed="10"/>
        </patternFill>
      </fill>
    </dxf>
    <dxf>
      <font>
        <condense val="0"/>
        <extend val="0"/>
        <color indexed="44"/>
      </font>
    </dxf>
    <dxf>
      <font>
        <condense val="0"/>
        <extend val="0"/>
        <color indexed="12"/>
      </font>
    </dxf>
    <dxf>
      <fill>
        <patternFill>
          <bgColor indexed="1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condense val="0"/>
        <extend val="0"/>
        <color indexed="44"/>
      </font>
    </dxf>
    <dxf>
      <font>
        <condense val="0"/>
        <extend val="0"/>
        <color indexed="12"/>
      </font>
    </dxf>
    <dxf>
      <fill>
        <patternFill>
          <bgColor indexed="1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condense val="0"/>
        <extend val="0"/>
        <color indexed="44"/>
      </font>
    </dxf>
    <dxf>
      <font>
        <condense val="0"/>
        <extend val="0"/>
        <color indexed="12"/>
      </font>
    </dxf>
    <dxf>
      <fill>
        <patternFill>
          <bgColor indexed="1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condense val="0"/>
        <extend val="0"/>
        <color indexed="44"/>
      </font>
    </dxf>
    <dxf>
      <font>
        <condense val="0"/>
        <extend val="0"/>
        <color indexed="10"/>
      </font>
    </dxf>
    <dxf>
      <font>
        <b/>
        <i val="0"/>
        <condense val="0"/>
        <extend val="0"/>
        <color indexed="10"/>
      </font>
    </dxf>
    <dxf>
      <font>
        <condense val="0"/>
        <extend val="0"/>
        <color indexed="12"/>
      </font>
    </dxf>
    <dxf>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condense val="0"/>
        <extend val="0"/>
        <color indexed="9"/>
      </font>
      <fill>
        <patternFill>
          <bgColor indexed="10"/>
        </patternFill>
      </fill>
    </dxf>
    <dxf>
      <font>
        <condense val="0"/>
        <extend val="0"/>
        <color indexed="44"/>
      </font>
    </dxf>
    <dxf>
      <fill>
        <patternFill>
          <bgColor indexed="10"/>
        </patternFill>
      </fill>
    </dxf>
    <dxf>
      <fill>
        <patternFill>
          <bgColor rgb="FF00B050"/>
        </patternFill>
      </fill>
    </dxf>
    <dxf>
      <font>
        <color theme="0"/>
      </font>
      <fill>
        <patternFill>
          <bgColor rgb="FFFF0000"/>
        </patternFill>
      </fill>
    </dxf>
    <dxf>
      <font>
        <color rgb="FFFF0000"/>
      </font>
    </dxf>
    <dxf>
      <fill>
        <patternFill>
          <bgColor rgb="FFFF0000"/>
        </patternFill>
      </fill>
    </dxf>
    <dxf>
      <fill>
        <patternFill>
          <bgColor rgb="FFFFC000"/>
        </patternFill>
      </fill>
    </dxf>
    <dxf>
      <font>
        <color theme="0" tint="-0.24994659260841701"/>
      </font>
      <fill>
        <patternFill patternType="none">
          <bgColor auto="1"/>
        </patternFill>
      </fill>
    </dxf>
    <dxf>
      <font>
        <color theme="0" tint="-0.34998626667073579"/>
      </font>
    </dxf>
    <dxf>
      <font>
        <b/>
        <i val="0"/>
      </font>
      <fill>
        <patternFill>
          <bgColor rgb="FFFF0000"/>
        </patternFill>
      </fill>
    </dxf>
    <dxf>
      <font>
        <color theme="0" tint="-0.24994659260841701"/>
      </font>
      <fill>
        <patternFill patternType="none">
          <bgColor auto="1"/>
        </patternFill>
      </fill>
    </dxf>
    <dxf>
      <font>
        <color theme="0" tint="-0.34998626667073579"/>
      </font>
    </dxf>
    <dxf>
      <font>
        <b/>
        <i val="0"/>
      </font>
      <fill>
        <patternFill>
          <bgColor rgb="FFFF0000"/>
        </patternFill>
      </fill>
    </dxf>
    <dxf>
      <font>
        <color theme="0" tint="-0.24994659260841701"/>
      </font>
      <fill>
        <patternFill patternType="none">
          <bgColor auto="1"/>
        </patternFill>
      </fill>
    </dxf>
    <dxf>
      <font>
        <color theme="0" tint="-0.34998626667073579"/>
      </font>
    </dxf>
    <dxf>
      <font>
        <b/>
        <i val="0"/>
      </font>
      <fill>
        <patternFill>
          <bgColor rgb="FFFF0000"/>
        </patternFill>
      </fill>
    </dxf>
    <dxf>
      <font>
        <color theme="0" tint="-0.24994659260841701"/>
      </font>
      <fill>
        <patternFill patternType="none">
          <bgColor auto="1"/>
        </patternFill>
      </fill>
    </dxf>
    <dxf>
      <font>
        <color theme="0" tint="-0.34998626667073579"/>
      </font>
    </dxf>
    <dxf>
      <font>
        <b/>
        <i val="0"/>
      </font>
      <fill>
        <patternFill>
          <bgColor rgb="FFFF0000"/>
        </patternFill>
      </fill>
    </dxf>
    <dxf>
      <font>
        <color theme="0" tint="-0.34998626667073579"/>
      </font>
    </dxf>
    <dxf>
      <font>
        <b/>
        <i val="0"/>
      </font>
      <fill>
        <patternFill>
          <bgColor rgb="FFFF0000"/>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34998626667073579"/>
      </font>
    </dxf>
    <dxf>
      <font>
        <b/>
        <i val="0"/>
      </font>
      <fill>
        <patternFill>
          <bgColor rgb="FFFF0000"/>
        </patternFill>
      </fill>
    </dxf>
    <dxf>
      <font>
        <color theme="0" tint="-0.24994659260841701"/>
      </font>
      <fill>
        <patternFill patternType="none">
          <bgColor auto="1"/>
        </patternFill>
      </fill>
    </dxf>
    <dxf>
      <font>
        <color theme="0" tint="-0.34998626667073579"/>
      </font>
    </dxf>
    <dxf>
      <font>
        <b/>
        <i val="0"/>
      </font>
      <fill>
        <patternFill>
          <bgColor rgb="FFFF0000"/>
        </patternFill>
      </fill>
    </dxf>
    <dxf>
      <font>
        <color theme="0" tint="-0.24994659260841701"/>
      </font>
      <fill>
        <patternFill patternType="none">
          <bgColor auto="1"/>
        </patternFill>
      </fill>
    </dxf>
    <dxf>
      <font>
        <color theme="0" tint="-0.34998626667073579"/>
      </font>
    </dxf>
    <dxf>
      <font>
        <b/>
        <i val="0"/>
      </font>
      <fill>
        <patternFill>
          <bgColor rgb="FFFF0000"/>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34998626667073579"/>
      </font>
    </dxf>
    <dxf>
      <font>
        <b/>
        <i val="0"/>
      </font>
      <fill>
        <patternFill>
          <bgColor rgb="FFFF0000"/>
        </patternFill>
      </fill>
    </dxf>
    <dxf>
      <font>
        <color theme="0" tint="-0.34998626667073579"/>
      </font>
    </dxf>
    <dxf>
      <font>
        <b/>
        <i val="0"/>
      </font>
      <fill>
        <patternFill>
          <bgColor rgb="FFFF0000"/>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34998626667073579"/>
      </font>
    </dxf>
    <dxf>
      <font>
        <b/>
        <i val="0"/>
      </font>
      <fill>
        <patternFill>
          <bgColor rgb="FFFF0000"/>
        </patternFill>
      </fill>
    </dxf>
    <dxf>
      <font>
        <color theme="0" tint="-0.34998626667073579"/>
      </font>
    </dxf>
    <dxf>
      <font>
        <b/>
        <i val="0"/>
      </font>
      <fill>
        <patternFill>
          <bgColor rgb="FFFF0000"/>
        </patternFill>
      </fill>
    </dxf>
    <dxf>
      <font>
        <color theme="0" tint="-0.34998626667073579"/>
      </font>
    </dxf>
    <dxf>
      <font>
        <b/>
        <i val="0"/>
      </font>
      <fill>
        <patternFill>
          <bgColor rgb="FFFF0000"/>
        </patternFill>
      </fill>
    </dxf>
    <dxf>
      <font>
        <b/>
        <i val="0"/>
      </font>
      <fill>
        <patternFill>
          <bgColor rgb="FFFF0000"/>
        </patternFill>
      </fill>
    </dxf>
    <dxf>
      <font>
        <color theme="0" tint="-0.24994659260841701"/>
      </font>
    </dxf>
    <dxf>
      <font>
        <b/>
        <i val="0"/>
      </font>
      <fill>
        <patternFill>
          <bgColor rgb="FFFF0000"/>
        </patternFill>
      </fill>
    </dxf>
    <dxf>
      <font>
        <color theme="0" tint="-0.24994659260841701"/>
      </font>
    </dxf>
    <dxf>
      <font>
        <b/>
        <i val="0"/>
      </font>
      <fill>
        <patternFill>
          <bgColor rgb="FFFF0000"/>
        </patternFill>
      </fill>
    </dxf>
    <dxf>
      <font>
        <color theme="0" tint="-0.24994659260841701"/>
      </font>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24994659260841701"/>
      </font>
    </dxf>
    <dxf>
      <font>
        <color theme="0" tint="-0.24994659260841701"/>
      </font>
      <fill>
        <patternFill patternType="none">
          <bgColor auto="1"/>
        </patternFill>
      </fill>
    </dxf>
    <dxf>
      <fill>
        <patternFill>
          <bgColor rgb="FFFF0000"/>
        </patternFill>
      </fill>
    </dxf>
    <dxf>
      <font>
        <b/>
        <i val="0"/>
      </font>
      <fill>
        <patternFill>
          <bgColor rgb="FFFF0000"/>
        </patternFill>
      </fill>
    </dxf>
    <dxf>
      <font>
        <color theme="0" tint="-0.24994659260841701"/>
      </font>
    </dxf>
    <dxf>
      <font>
        <b/>
        <i val="0"/>
      </font>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color theme="0" tint="-0.24994659260841701"/>
      </font>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cid:image001.gif@01C9A22F.C5E7DF8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0</xdr:row>
          <xdr:rowOff>0</xdr:rowOff>
        </xdr:from>
        <xdr:to>
          <xdr:col>1</xdr:col>
          <xdr:colOff>0</xdr:colOff>
          <xdr:row>0</xdr:row>
          <xdr:rowOff>0</xdr:rowOff>
        </xdr:to>
        <xdr:sp macro="" textlink="">
          <xdr:nvSpPr>
            <xdr:cNvPr id="7181" name="Button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Arial"/>
                  <a:cs typeface="Arial"/>
                </a:rPr>
                <a:t>Summary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0</xdr:rowOff>
        </xdr:from>
        <xdr:to>
          <xdr:col>1</xdr:col>
          <xdr:colOff>0</xdr:colOff>
          <xdr:row>0</xdr:row>
          <xdr:rowOff>0</xdr:rowOff>
        </xdr:to>
        <xdr:sp macro="" textlink="">
          <xdr:nvSpPr>
            <xdr:cNvPr id="7182" name="Button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Arial"/>
                  <a:cs typeface="Arial"/>
                </a:rPr>
                <a:t>Funding &amp; Income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0</xdr:rowOff>
        </xdr:from>
        <xdr:to>
          <xdr:col>1</xdr:col>
          <xdr:colOff>0</xdr:colOff>
          <xdr:row>0</xdr:row>
          <xdr:rowOff>0</xdr:rowOff>
        </xdr:to>
        <xdr:sp macro="" textlink="">
          <xdr:nvSpPr>
            <xdr:cNvPr id="7183" name="Button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Arial"/>
                  <a:cs typeface="Arial"/>
                </a:rPr>
                <a:t>Expenditure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0</xdr:rowOff>
        </xdr:from>
        <xdr:to>
          <xdr:col>1</xdr:col>
          <xdr:colOff>0</xdr:colOff>
          <xdr:row>0</xdr:row>
          <xdr:rowOff>0</xdr:rowOff>
        </xdr:to>
        <xdr:sp macro="" textlink="">
          <xdr:nvSpPr>
            <xdr:cNvPr id="7184" name="Button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Arial"/>
                  <a:cs typeface="Arial"/>
                </a:rPr>
                <a:t>KS1 Calculator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0</xdr:rowOff>
        </xdr:from>
        <xdr:to>
          <xdr:col>1</xdr:col>
          <xdr:colOff>0</xdr:colOff>
          <xdr:row>0</xdr:row>
          <xdr:rowOff>0</xdr:rowOff>
        </xdr:to>
        <xdr:sp macro="" textlink="">
          <xdr:nvSpPr>
            <xdr:cNvPr id="7185" name="Button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Arial"/>
                  <a:cs typeface="Arial"/>
                </a:rPr>
                <a:t>Pay Progression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238125</xdr:colOff>
          <xdr:row>0</xdr:row>
          <xdr:rowOff>0</xdr:rowOff>
        </xdr:from>
        <xdr:to>
          <xdr:col>9</xdr:col>
          <xdr:colOff>228600</xdr:colOff>
          <xdr:row>0</xdr:row>
          <xdr:rowOff>0</xdr:rowOff>
        </xdr:to>
        <xdr:sp macro="" textlink="">
          <xdr:nvSpPr>
            <xdr:cNvPr id="7187" name="Button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Arial"/>
                  <a:cs typeface="Arial"/>
                </a:rPr>
                <a:t>Accumulated Balance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257175</xdr:colOff>
          <xdr:row>0</xdr:row>
          <xdr:rowOff>0</xdr:rowOff>
        </xdr:from>
        <xdr:to>
          <xdr:col>10</xdr:col>
          <xdr:colOff>0</xdr:colOff>
          <xdr:row>0</xdr:row>
          <xdr:rowOff>0</xdr:rowOff>
        </xdr:to>
        <xdr:sp macro="" textlink="">
          <xdr:nvSpPr>
            <xdr:cNvPr id="7188" name="Button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Arial"/>
                  <a:cs typeface="Arial"/>
                </a:rPr>
                <a:t>Capital</a:t>
              </a:r>
            </a:p>
          </xdr:txBody>
        </xdr:sp>
        <xdr:clientData fPrintsWithSheet="0"/>
      </xdr:twoCellAnchor>
    </mc:Choice>
    <mc:Fallback/>
  </mc:AlternateContent>
  <xdr:twoCellAnchor>
    <xdr:from>
      <xdr:col>1</xdr:col>
      <xdr:colOff>2247900</xdr:colOff>
      <xdr:row>102</xdr:row>
      <xdr:rowOff>0</xdr:rowOff>
    </xdr:from>
    <xdr:to>
      <xdr:col>1</xdr:col>
      <xdr:colOff>2495550</xdr:colOff>
      <xdr:row>102</xdr:row>
      <xdr:rowOff>0</xdr:rowOff>
    </xdr:to>
    <xdr:pic>
      <xdr:nvPicPr>
        <xdr:cNvPr id="7402" name="Picture 35" descr="Button image">
          <a:extLst>
            <a:ext uri="{FF2B5EF4-FFF2-40B4-BE49-F238E27FC236}">
              <a16:creationId xmlns:a16="http://schemas.microsoft.com/office/drawing/2014/main" id="{00000000-0008-0000-0100-0000EA1C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95550" y="41995725"/>
          <a:ext cx="247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95250</xdr:colOff>
      <xdr:row>24</xdr:row>
      <xdr:rowOff>1</xdr:rowOff>
    </xdr:from>
    <xdr:to>
      <xdr:col>19</xdr:col>
      <xdr:colOff>457200</xdr:colOff>
      <xdr:row>28</xdr:row>
      <xdr:rowOff>295276</xdr:rowOff>
    </xdr:to>
    <xdr:sp macro="" textlink="">
      <xdr:nvSpPr>
        <xdr:cNvPr id="2" name="Rectangle 1">
          <a:extLst>
            <a:ext uri="{FF2B5EF4-FFF2-40B4-BE49-F238E27FC236}">
              <a16:creationId xmlns:a16="http://schemas.microsoft.com/office/drawing/2014/main" id="{00000000-0008-0000-0C00-000002000000}"/>
            </a:ext>
          </a:extLst>
        </xdr:cNvPr>
        <xdr:cNvSpPr/>
      </xdr:nvSpPr>
      <xdr:spPr bwMode="auto">
        <a:xfrm>
          <a:off x="8639175" y="5391151"/>
          <a:ext cx="2771775" cy="12763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en-GB" sz="1100"/>
            <a:t>NB: The funding figure shown for LAC is only an estimate as some funding may be retained by the Local Authority to be spent centrally.</a:t>
          </a:r>
        </a:p>
      </xdr:txBody>
    </xdr:sp>
    <xdr:clientData/>
  </xdr:twoCellAnchor>
  <xdr:twoCellAnchor>
    <xdr:from>
      <xdr:col>12</xdr:col>
      <xdr:colOff>66675</xdr:colOff>
      <xdr:row>80</xdr:row>
      <xdr:rowOff>9525</xdr:rowOff>
    </xdr:from>
    <xdr:to>
      <xdr:col>13</xdr:col>
      <xdr:colOff>171451</xdr:colOff>
      <xdr:row>86</xdr:row>
      <xdr:rowOff>9525</xdr:rowOff>
    </xdr:to>
    <xdr:sp macro="" textlink="">
      <xdr:nvSpPr>
        <xdr:cNvPr id="3" name="Rectangle 2">
          <a:extLst>
            <a:ext uri="{FF2B5EF4-FFF2-40B4-BE49-F238E27FC236}">
              <a16:creationId xmlns:a16="http://schemas.microsoft.com/office/drawing/2014/main" id="{00000000-0008-0000-0C00-000003000000}"/>
            </a:ext>
          </a:extLst>
        </xdr:cNvPr>
        <xdr:cNvSpPr/>
      </xdr:nvSpPr>
      <xdr:spPr bwMode="auto">
        <a:xfrm>
          <a:off x="7162800" y="11363325"/>
          <a:ext cx="1000126" cy="88582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en-GB" sz="1100" b="0"/>
            <a:t>Exclude</a:t>
          </a:r>
          <a:r>
            <a:rPr lang="en-GB" sz="1100" b="0" baseline="0"/>
            <a:t> </a:t>
          </a:r>
          <a:r>
            <a:rPr lang="en-GB" sz="1100"/>
            <a:t>pupils with a 'non-universal' FSM   entitlement </a:t>
          </a:r>
        </a:p>
      </xdr:txBody>
    </xdr:sp>
    <xdr:clientData/>
  </xdr:twoCellAnchor>
  <xdr:twoCellAnchor>
    <xdr:from>
      <xdr:col>11</xdr:col>
      <xdr:colOff>381001</xdr:colOff>
      <xdr:row>42</xdr:row>
      <xdr:rowOff>9524</xdr:rowOff>
    </xdr:from>
    <xdr:to>
      <xdr:col>12</xdr:col>
      <xdr:colOff>866775</xdr:colOff>
      <xdr:row>47</xdr:row>
      <xdr:rowOff>19050</xdr:rowOff>
    </xdr:to>
    <xdr:sp macro="" textlink="">
      <xdr:nvSpPr>
        <xdr:cNvPr id="4" name="Rectangle 3">
          <a:extLst>
            <a:ext uri="{FF2B5EF4-FFF2-40B4-BE49-F238E27FC236}">
              <a16:creationId xmlns:a16="http://schemas.microsoft.com/office/drawing/2014/main" id="{00000000-0008-0000-0C00-000004000000}"/>
            </a:ext>
          </a:extLst>
        </xdr:cNvPr>
        <xdr:cNvSpPr/>
      </xdr:nvSpPr>
      <xdr:spPr bwMode="auto">
        <a:xfrm>
          <a:off x="7048501" y="8934449"/>
          <a:ext cx="914399" cy="971551"/>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en-GB" sz="1100" b="1"/>
            <a:t>NB: Exclude pupils</a:t>
          </a:r>
          <a:r>
            <a:rPr lang="en-GB" sz="1100" b="1" baseline="0"/>
            <a:t> in </a:t>
          </a:r>
          <a:r>
            <a:rPr lang="en-GB" sz="1100" b="1"/>
            <a:t>special units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finance.monitoring@essex.gov.uk"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C34"/>
  <sheetViews>
    <sheetView workbookViewId="0">
      <selection activeCell="C14" sqref="C14"/>
    </sheetView>
  </sheetViews>
  <sheetFormatPr defaultRowHeight="12.75" x14ac:dyDescent="0.2"/>
  <cols>
    <col min="1" max="1" width="43.140625" style="644" customWidth="1"/>
    <col min="2" max="2" width="28.5703125" customWidth="1"/>
    <col min="3" max="3" width="89.42578125" customWidth="1"/>
  </cols>
  <sheetData>
    <row r="2" spans="1:3" x14ac:dyDescent="0.2">
      <c r="B2" s="644" t="s">
        <v>819</v>
      </c>
      <c r="C2" s="644" t="s">
        <v>820</v>
      </c>
    </row>
    <row r="3" spans="1:3" x14ac:dyDescent="0.2">
      <c r="A3" s="646" t="s">
        <v>979</v>
      </c>
      <c r="B3" s="569" t="s">
        <v>819</v>
      </c>
      <c r="C3" s="569"/>
    </row>
    <row r="4" spans="1:3" x14ac:dyDescent="0.2">
      <c r="A4" s="646" t="s">
        <v>779</v>
      </c>
      <c r="B4" s="569" t="s">
        <v>819</v>
      </c>
    </row>
    <row r="5" spans="1:3" x14ac:dyDescent="0.2">
      <c r="A5" s="646" t="s">
        <v>835</v>
      </c>
      <c r="B5" s="569" t="s">
        <v>819</v>
      </c>
      <c r="C5" s="569"/>
    </row>
    <row r="6" spans="1:3" x14ac:dyDescent="0.2">
      <c r="A6" s="646" t="s">
        <v>785</v>
      </c>
      <c r="B6" s="569" t="s">
        <v>819</v>
      </c>
    </row>
    <row r="7" spans="1:3" x14ac:dyDescent="0.2">
      <c r="A7" s="646" t="s">
        <v>786</v>
      </c>
      <c r="B7" s="569" t="s">
        <v>819</v>
      </c>
      <c r="C7" s="569"/>
    </row>
    <row r="8" spans="1:3" x14ac:dyDescent="0.2">
      <c r="A8" s="646" t="s">
        <v>682</v>
      </c>
      <c r="B8" s="569" t="s">
        <v>819</v>
      </c>
    </row>
    <row r="9" spans="1:3" x14ac:dyDescent="0.2">
      <c r="A9" s="646" t="s">
        <v>859</v>
      </c>
      <c r="B9" s="569" t="s">
        <v>819</v>
      </c>
    </row>
    <row r="10" spans="1:3" x14ac:dyDescent="0.2">
      <c r="A10" s="646" t="s">
        <v>834</v>
      </c>
      <c r="B10" s="569" t="s">
        <v>819</v>
      </c>
    </row>
    <row r="11" spans="1:3" x14ac:dyDescent="0.2">
      <c r="A11" s="646" t="s">
        <v>877</v>
      </c>
      <c r="B11" s="569" t="s">
        <v>819</v>
      </c>
      <c r="C11" s="569"/>
    </row>
    <row r="12" spans="1:3" x14ac:dyDescent="0.2">
      <c r="A12" s="646" t="s">
        <v>836</v>
      </c>
      <c r="B12" s="569" t="s">
        <v>819</v>
      </c>
      <c r="C12" s="569"/>
    </row>
    <row r="13" spans="1:3" x14ac:dyDescent="0.2">
      <c r="A13" s="646" t="s">
        <v>900</v>
      </c>
      <c r="B13" s="569" t="s">
        <v>819</v>
      </c>
      <c r="C13" s="569"/>
    </row>
    <row r="14" spans="1:3" x14ac:dyDescent="0.2">
      <c r="A14" s="646" t="s">
        <v>297</v>
      </c>
      <c r="B14" s="569" t="s">
        <v>819</v>
      </c>
      <c r="C14" s="969"/>
    </row>
    <row r="15" spans="1:3" x14ac:dyDescent="0.2">
      <c r="A15" s="646" t="s">
        <v>57</v>
      </c>
      <c r="B15" s="569" t="s">
        <v>819</v>
      </c>
    </row>
    <row r="16" spans="1:3" x14ac:dyDescent="0.2">
      <c r="A16" s="645" t="s">
        <v>822</v>
      </c>
      <c r="B16" s="569" t="s">
        <v>819</v>
      </c>
      <c r="C16" s="569"/>
    </row>
    <row r="17" spans="1:3" x14ac:dyDescent="0.2">
      <c r="A17" s="646" t="s">
        <v>829</v>
      </c>
      <c r="B17" s="569" t="s">
        <v>819</v>
      </c>
      <c r="C17" s="569"/>
    </row>
    <row r="18" spans="1:3" x14ac:dyDescent="0.2">
      <c r="A18" s="646" t="s">
        <v>802</v>
      </c>
      <c r="B18" s="569" t="s">
        <v>819</v>
      </c>
      <c r="C18" s="569"/>
    </row>
    <row r="19" spans="1:3" x14ac:dyDescent="0.2">
      <c r="A19" s="646" t="s">
        <v>978</v>
      </c>
      <c r="B19" s="569" t="s">
        <v>819</v>
      </c>
      <c r="C19" s="569"/>
    </row>
    <row r="20" spans="1:3" x14ac:dyDescent="0.2">
      <c r="B20" s="586"/>
    </row>
    <row r="21" spans="1:3" x14ac:dyDescent="0.2">
      <c r="B21" s="914"/>
    </row>
    <row r="22" spans="1:3" x14ac:dyDescent="0.2">
      <c r="A22" s="569"/>
      <c r="B22" s="569"/>
    </row>
    <row r="23" spans="1:3" x14ac:dyDescent="0.2">
      <c r="A23" s="569"/>
      <c r="B23" s="569"/>
    </row>
    <row r="24" spans="1:3" x14ac:dyDescent="0.2">
      <c r="A24" s="919"/>
      <c r="B24" s="569"/>
    </row>
    <row r="25" spans="1:3" x14ac:dyDescent="0.2">
      <c r="B25" s="586"/>
    </row>
    <row r="26" spans="1:3" x14ac:dyDescent="0.2">
      <c r="B26" s="586"/>
    </row>
    <row r="27" spans="1:3" x14ac:dyDescent="0.2">
      <c r="B27" s="586"/>
    </row>
    <row r="28" spans="1:3" x14ac:dyDescent="0.2">
      <c r="B28" s="586"/>
    </row>
    <row r="29" spans="1:3" x14ac:dyDescent="0.2">
      <c r="B29" s="586"/>
    </row>
    <row r="30" spans="1:3" x14ac:dyDescent="0.2">
      <c r="B30" s="625"/>
    </row>
    <row r="32" spans="1:3" x14ac:dyDescent="0.2">
      <c r="B32" s="569"/>
    </row>
    <row r="33" spans="2:2" x14ac:dyDescent="0.2">
      <c r="B33" s="569"/>
    </row>
    <row r="34" spans="2:2" x14ac:dyDescent="0.2">
      <c r="B34" s="569"/>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S263"/>
  <sheetViews>
    <sheetView zoomScale="75" zoomScaleNormal="75" workbookViewId="0">
      <pane xSplit="2" ySplit="1" topLeftCell="E236" activePane="bottomRight" state="frozen"/>
      <selection pane="topRight" activeCell="C1" sqref="C1"/>
      <selection pane="bottomLeft" activeCell="A2" sqref="A2"/>
      <selection pane="bottomRight" activeCell="L263" sqref="L263"/>
    </sheetView>
  </sheetViews>
  <sheetFormatPr defaultColWidth="9.140625" defaultRowHeight="12.75" x14ac:dyDescent="0.2"/>
  <cols>
    <col min="1" max="1" width="9.28515625" style="568" bestFit="1" customWidth="1"/>
    <col min="2" max="2" width="36.28515625" style="568" bestFit="1" customWidth="1"/>
    <col min="3" max="3" width="12" style="568" hidden="1" customWidth="1"/>
    <col min="4" max="4" width="6.42578125" style="568" hidden="1" customWidth="1"/>
    <col min="5" max="5" width="15.140625" style="568" customWidth="1"/>
    <col min="6" max="6" width="9.28515625" style="568" customWidth="1"/>
    <col min="7" max="7" width="17.85546875" style="568" customWidth="1"/>
    <col min="8" max="8" width="16.5703125" style="568" bestFit="1" customWidth="1"/>
    <col min="9" max="9" width="18.28515625" style="630" customWidth="1"/>
    <col min="10" max="11" width="0" style="568" hidden="1" customWidth="1"/>
    <col min="12" max="12" width="13.28515625" style="568" customWidth="1"/>
    <col min="13" max="13" width="14.5703125" style="568" customWidth="1"/>
    <col min="14" max="14" width="17.85546875" style="568" customWidth="1"/>
    <col min="15" max="15" width="14.85546875" style="568" bestFit="1" customWidth="1"/>
    <col min="16" max="16" width="11.85546875" style="631" customWidth="1"/>
    <col min="17" max="17" width="12.140625" style="568" customWidth="1"/>
    <col min="18" max="18" width="13.5703125" style="568" customWidth="1"/>
    <col min="19" max="19" width="16.5703125" style="568" bestFit="1" customWidth="1"/>
    <col min="20" max="16384" width="9.140625" style="568"/>
  </cols>
  <sheetData>
    <row r="1" spans="1:19" s="831" customFormat="1" ht="87.75" customHeight="1" x14ac:dyDescent="0.2">
      <c r="A1" s="948" t="s">
        <v>546</v>
      </c>
      <c r="B1" s="949" t="s">
        <v>860</v>
      </c>
      <c r="E1" s="961" t="str">
        <f>'Fin.Yr Lookups'!A16&amp;" De-delegation (ESG element)"</f>
        <v>2019-20 De-delegation (ESG element)</v>
      </c>
      <c r="F1" s="961" t="str">
        <f>'Fin.Yr Lookups'!A16&amp;" SB NOR"</f>
        <v>2019-20 SB NOR</v>
      </c>
      <c r="G1" s="961" t="str">
        <f>'Fin.Yr Lookups'!A16&amp;" Sch Block (before de-delegation)"</f>
        <v>2019-20 Sch Block (before de-delegation)</v>
      </c>
      <c r="H1" s="961" t="str">
        <f>'Fin.Yr Lookups'!A16&amp;" De-delegation (excl ESG &amp; Broadband)"</f>
        <v>2019-20 De-delegation (excl ESG &amp; Broadband)</v>
      </c>
      <c r="I1" s="962" t="str">
        <f>"Au/Sp element of UIFSM funding (paid Summer "&amp;'Fin.Yr Lookups'!A14&amp;") - excl transitional funding"</f>
        <v>Au/Sp element of UIFSM funding (paid Summer 2019) - excl transitional funding</v>
      </c>
      <c r="L1" s="961" t="str">
        <f>'Fin.Yr Lookups'!A16&amp;" SB
Rates"</f>
        <v>2019-20 SB
Rates</v>
      </c>
      <c r="M1" s="961" t="str">
        <f>"Est "&amp;'Fin.Yr Lookups'!A29&amp;" SB
PFI"</f>
        <v>Est 2021-22 SB
PFI</v>
      </c>
      <c r="N1" s="961" t="str">
        <f>'Fin.Yr Lookups'!A16&amp;" SB NOR (excl. R uplift)+FYE of est pupils"</f>
        <v>2019-20 SB NOR (excl. R uplift)+FYE of est pupils</v>
      </c>
      <c r="O1" s="948" t="s">
        <v>866</v>
      </c>
      <c r="P1" s="961" t="s">
        <v>856</v>
      </c>
      <c r="Q1" s="961" t="str">
        <f>"Exceptional Factor
"&amp;'Fin.Yr Lookups'!A16</f>
        <v>Exceptional Factor
2019-20</v>
      </c>
      <c r="R1" s="961" t="str">
        <f>"Exceptional Factor
"&amp;'Fin.Yr Lookups'!A5</f>
        <v>Exceptional Factor
2020-21</v>
      </c>
      <c r="S1" s="961" t="str">
        <f>"Total of pupil Led funding and Lump Sum "&amp;'Fin.Yr Lookups'!A16</f>
        <v>Total of pupil Led funding and Lump Sum 2019-20</v>
      </c>
    </row>
    <row r="2" spans="1:19" x14ac:dyDescent="0.2">
      <c r="A2" s="945">
        <v>4750</v>
      </c>
      <c r="B2" s="950" t="s">
        <v>1</v>
      </c>
      <c r="E2" s="964">
        <v>21849.905000000002</v>
      </c>
      <c r="F2" s="964">
        <v>365.75</v>
      </c>
      <c r="G2" s="964">
        <v>1309564</v>
      </c>
      <c r="H2" s="964">
        <v>928.55109455101956</v>
      </c>
      <c r="I2" s="964">
        <v>39003</v>
      </c>
      <c r="J2" s="832"/>
      <c r="K2" s="832"/>
      <c r="L2" s="964">
        <v>46647.96</v>
      </c>
      <c r="M2" s="964">
        <v>0</v>
      </c>
      <c r="N2" s="964">
        <v>365.75</v>
      </c>
      <c r="O2" s="963">
        <v>3257</v>
      </c>
      <c r="P2" s="654" t="s">
        <v>857</v>
      </c>
      <c r="Q2" s="964">
        <v>0</v>
      </c>
      <c r="R2" s="964">
        <v>0</v>
      </c>
      <c r="S2" s="964"/>
    </row>
    <row r="3" spans="1:19" x14ac:dyDescent="0.2">
      <c r="A3" s="945">
        <v>2842</v>
      </c>
      <c r="B3" s="950" t="s">
        <v>2</v>
      </c>
      <c r="E3" s="964">
        <v>11888.26</v>
      </c>
      <c r="F3" s="964">
        <v>199</v>
      </c>
      <c r="G3" s="964">
        <v>813159</v>
      </c>
      <c r="H3" s="964">
        <v>497.86999999999989</v>
      </c>
      <c r="I3" s="964">
        <v>16570</v>
      </c>
      <c r="J3" s="832"/>
      <c r="K3" s="832"/>
      <c r="L3" s="964">
        <v>3168.75</v>
      </c>
      <c r="M3" s="964">
        <v>0</v>
      </c>
      <c r="N3" s="964">
        <v>199</v>
      </c>
      <c r="O3" s="963">
        <v>3822</v>
      </c>
      <c r="P3" s="654" t="s">
        <v>811</v>
      </c>
      <c r="Q3" s="964">
        <v>0</v>
      </c>
      <c r="R3" s="964">
        <v>0</v>
      </c>
      <c r="S3" s="964"/>
    </row>
    <row r="4" spans="1:19" x14ac:dyDescent="0.2">
      <c r="A4" s="945">
        <v>2298</v>
      </c>
      <c r="B4" s="950" t="s">
        <v>3</v>
      </c>
      <c r="E4" s="964">
        <v>7885.68</v>
      </c>
      <c r="F4" s="964">
        <v>132</v>
      </c>
      <c r="G4" s="964">
        <v>557596</v>
      </c>
      <c r="H4" s="964">
        <v>330.15999999999985</v>
      </c>
      <c r="I4" s="964">
        <v>13384</v>
      </c>
      <c r="J4" s="832"/>
      <c r="K4" s="832"/>
      <c r="L4" s="964">
        <v>14696.5</v>
      </c>
      <c r="M4" s="964">
        <v>0</v>
      </c>
      <c r="N4" s="964">
        <v>132</v>
      </c>
      <c r="O4" s="963">
        <v>3024</v>
      </c>
      <c r="P4" s="654" t="s">
        <v>811</v>
      </c>
      <c r="Q4" s="964">
        <v>0</v>
      </c>
      <c r="R4" s="964">
        <v>0</v>
      </c>
      <c r="S4" s="964"/>
    </row>
    <row r="5" spans="1:19" x14ac:dyDescent="0.2">
      <c r="A5" s="945">
        <v>3332</v>
      </c>
      <c r="B5" s="950" t="s">
        <v>4</v>
      </c>
      <c r="E5" s="964">
        <v>19116.8</v>
      </c>
      <c r="F5" s="964">
        <v>320</v>
      </c>
      <c r="G5" s="964">
        <v>1204410</v>
      </c>
      <c r="H5" s="964">
        <v>799.60000000000127</v>
      </c>
      <c r="I5" s="964">
        <v>28169</v>
      </c>
      <c r="J5" s="832"/>
      <c r="K5" s="832"/>
      <c r="L5" s="964">
        <v>26364</v>
      </c>
      <c r="M5" s="964">
        <v>0</v>
      </c>
      <c r="N5" s="964">
        <v>320</v>
      </c>
      <c r="O5" s="963">
        <v>3201</v>
      </c>
      <c r="P5" s="654" t="s">
        <v>811</v>
      </c>
      <c r="Q5" s="964">
        <v>0</v>
      </c>
      <c r="R5" s="964">
        <v>0</v>
      </c>
      <c r="S5" s="964"/>
    </row>
    <row r="6" spans="1:19" x14ac:dyDescent="0.2">
      <c r="A6" s="945">
        <v>2552</v>
      </c>
      <c r="B6" s="950" t="s">
        <v>5</v>
      </c>
      <c r="E6" s="964">
        <v>5496.08</v>
      </c>
      <c r="F6" s="964">
        <v>92</v>
      </c>
      <c r="G6" s="964">
        <v>443579</v>
      </c>
      <c r="H6" s="964">
        <v>229.96000000000004</v>
      </c>
      <c r="I6" s="964">
        <v>8413</v>
      </c>
      <c r="J6" s="832"/>
      <c r="K6" s="832"/>
      <c r="L6" s="964">
        <v>3032.85</v>
      </c>
      <c r="M6" s="964">
        <v>0</v>
      </c>
      <c r="N6" s="964">
        <v>91</v>
      </c>
      <c r="O6" s="963">
        <v>3314</v>
      </c>
      <c r="P6" s="654" t="s">
        <v>811</v>
      </c>
      <c r="Q6" s="964">
        <v>0</v>
      </c>
      <c r="R6" s="964">
        <v>0</v>
      </c>
      <c r="S6" s="964"/>
    </row>
    <row r="7" spans="1:19" x14ac:dyDescent="0.2">
      <c r="A7" s="945">
        <v>1010</v>
      </c>
      <c r="B7" s="950" t="s">
        <v>6</v>
      </c>
      <c r="E7" s="964">
        <v>10086.103333333334</v>
      </c>
      <c r="F7" s="964">
        <v>168.83333333333334</v>
      </c>
      <c r="G7" s="964">
        <v>648953</v>
      </c>
      <c r="H7" s="964">
        <v>421.94833333333236</v>
      </c>
      <c r="I7" s="964">
        <v>10707</v>
      </c>
      <c r="J7" s="832"/>
      <c r="K7" s="832"/>
      <c r="L7" s="964">
        <v>-1483.56</v>
      </c>
      <c r="M7" s="964">
        <v>0</v>
      </c>
      <c r="N7" s="964">
        <v>168.83333333333334</v>
      </c>
      <c r="O7" s="963">
        <v>2043</v>
      </c>
      <c r="P7" s="654" t="s">
        <v>811</v>
      </c>
      <c r="Q7" s="964">
        <v>0</v>
      </c>
      <c r="R7" s="964">
        <v>0</v>
      </c>
      <c r="S7" s="964"/>
    </row>
    <row r="8" spans="1:19" x14ac:dyDescent="0.2">
      <c r="A8" s="945">
        <v>1026</v>
      </c>
      <c r="B8" s="950" t="s">
        <v>7</v>
      </c>
      <c r="E8" s="964">
        <v>4838.9400000000005</v>
      </c>
      <c r="F8" s="964">
        <v>81</v>
      </c>
      <c r="G8" s="964">
        <v>393809</v>
      </c>
      <c r="H8" s="964">
        <v>202.52999999999952</v>
      </c>
      <c r="I8" s="964">
        <v>7266</v>
      </c>
      <c r="J8" s="832"/>
      <c r="K8" s="832"/>
      <c r="L8" s="964">
        <v>1215.95</v>
      </c>
      <c r="M8" s="964">
        <v>0</v>
      </c>
      <c r="N8" s="964">
        <v>81</v>
      </c>
      <c r="O8" s="963">
        <v>2710</v>
      </c>
      <c r="P8" s="654" t="s">
        <v>811</v>
      </c>
      <c r="Q8" s="964">
        <v>0</v>
      </c>
      <c r="R8" s="964">
        <v>0</v>
      </c>
      <c r="S8" s="964"/>
    </row>
    <row r="9" spans="1:19" x14ac:dyDescent="0.2">
      <c r="A9" s="945">
        <v>2452</v>
      </c>
      <c r="B9" s="950" t="s">
        <v>8</v>
      </c>
      <c r="E9" s="964">
        <v>10573.98</v>
      </c>
      <c r="F9" s="964">
        <v>177</v>
      </c>
      <c r="G9" s="964">
        <v>705764</v>
      </c>
      <c r="H9" s="964">
        <v>442.01000000000022</v>
      </c>
      <c r="I9" s="964">
        <v>37218</v>
      </c>
      <c r="J9" s="832"/>
      <c r="K9" s="832"/>
      <c r="L9" s="964">
        <v>16541.240000000002</v>
      </c>
      <c r="M9" s="964">
        <v>0</v>
      </c>
      <c r="N9" s="964">
        <v>176</v>
      </c>
      <c r="O9" s="963">
        <v>2579</v>
      </c>
      <c r="P9" s="654" t="s">
        <v>811</v>
      </c>
      <c r="Q9" s="964">
        <v>0</v>
      </c>
      <c r="R9" s="964">
        <v>0</v>
      </c>
      <c r="S9" s="964"/>
    </row>
    <row r="10" spans="1:19" x14ac:dyDescent="0.2">
      <c r="A10" s="945">
        <v>2450</v>
      </c>
      <c r="B10" s="950" t="s">
        <v>9</v>
      </c>
      <c r="E10" s="964">
        <v>15711.62</v>
      </c>
      <c r="F10" s="964">
        <v>263</v>
      </c>
      <c r="G10" s="964">
        <v>981612</v>
      </c>
      <c r="H10" s="964">
        <v>657.1899999999996</v>
      </c>
      <c r="I10" s="964">
        <v>0</v>
      </c>
      <c r="J10" s="832"/>
      <c r="K10" s="832"/>
      <c r="L10" s="964">
        <v>25872.2</v>
      </c>
      <c r="M10" s="964">
        <v>0</v>
      </c>
      <c r="N10" s="964">
        <v>263</v>
      </c>
      <c r="O10" s="963">
        <v>2609</v>
      </c>
      <c r="P10" s="654" t="s">
        <v>811</v>
      </c>
      <c r="Q10" s="964">
        <v>0</v>
      </c>
      <c r="R10" s="964">
        <v>0</v>
      </c>
      <c r="S10" s="964"/>
    </row>
    <row r="11" spans="1:19" x14ac:dyDescent="0.2">
      <c r="A11" s="945">
        <v>4432</v>
      </c>
      <c r="B11" s="950" t="s">
        <v>10</v>
      </c>
      <c r="E11" s="964">
        <v>5735.04</v>
      </c>
      <c r="F11" s="964">
        <v>96</v>
      </c>
      <c r="G11" s="964">
        <v>471383</v>
      </c>
      <c r="H11" s="964">
        <v>240.48000000000002</v>
      </c>
      <c r="I11" s="964">
        <v>9687</v>
      </c>
      <c r="J11" s="832"/>
      <c r="K11" s="832"/>
      <c r="L11" s="964">
        <v>10248.26</v>
      </c>
      <c r="M11" s="964">
        <v>0</v>
      </c>
      <c r="N11" s="964">
        <v>94</v>
      </c>
      <c r="O11" s="963">
        <v>2088</v>
      </c>
      <c r="P11" s="654" t="s">
        <v>811</v>
      </c>
      <c r="Q11" s="964">
        <v>0</v>
      </c>
      <c r="R11" s="964">
        <v>0</v>
      </c>
      <c r="S11" s="964"/>
    </row>
    <row r="12" spans="1:19" x14ac:dyDescent="0.2">
      <c r="A12" s="945">
        <v>1362</v>
      </c>
      <c r="B12" s="950" t="s">
        <v>11</v>
      </c>
      <c r="E12" s="964">
        <v>19893.420000000002</v>
      </c>
      <c r="F12" s="964">
        <v>333</v>
      </c>
      <c r="G12" s="964">
        <v>1292106</v>
      </c>
      <c r="H12" s="964">
        <v>832.28999999999814</v>
      </c>
      <c r="I12" s="964">
        <v>19884</v>
      </c>
      <c r="J12" s="832"/>
      <c r="K12" s="832"/>
      <c r="L12" s="964">
        <v>31062.5</v>
      </c>
      <c r="M12" s="964">
        <v>0</v>
      </c>
      <c r="N12" s="964">
        <v>333</v>
      </c>
      <c r="O12" s="963">
        <v>2134</v>
      </c>
      <c r="P12" s="654" t="s">
        <v>811</v>
      </c>
      <c r="Q12" s="964">
        <v>0</v>
      </c>
      <c r="R12" s="964">
        <v>0</v>
      </c>
      <c r="S12" s="964"/>
    </row>
    <row r="13" spans="1:19" x14ac:dyDescent="0.2">
      <c r="A13" s="945">
        <v>2454</v>
      </c>
      <c r="B13" s="950" t="s">
        <v>12</v>
      </c>
      <c r="E13" s="964">
        <v>12545.4</v>
      </c>
      <c r="F13" s="964">
        <v>210</v>
      </c>
      <c r="G13" s="964">
        <v>812081</v>
      </c>
      <c r="H13" s="964">
        <v>525.30000000000018</v>
      </c>
      <c r="I13" s="964">
        <v>20394</v>
      </c>
      <c r="J13" s="832"/>
      <c r="K13" s="832"/>
      <c r="L13" s="964">
        <v>14578.99</v>
      </c>
      <c r="M13" s="964">
        <v>0</v>
      </c>
      <c r="N13" s="964">
        <v>210</v>
      </c>
      <c r="O13" s="963">
        <v>2789</v>
      </c>
      <c r="P13" s="654" t="s">
        <v>811</v>
      </c>
      <c r="Q13" s="964">
        <v>0</v>
      </c>
      <c r="R13" s="964">
        <v>0</v>
      </c>
      <c r="S13" s="964"/>
    </row>
    <row r="14" spans="1:19" x14ac:dyDescent="0.2">
      <c r="A14" s="945">
        <v>4200</v>
      </c>
      <c r="B14" s="951" t="s">
        <v>13</v>
      </c>
      <c r="E14" s="964">
        <v>13620.720000000001</v>
      </c>
      <c r="F14" s="964">
        <v>228</v>
      </c>
      <c r="G14" s="964">
        <v>882645</v>
      </c>
      <c r="H14" s="964">
        <v>569.63999999999942</v>
      </c>
      <c r="I14" s="964">
        <v>19629</v>
      </c>
      <c r="J14" s="832"/>
      <c r="K14" s="832"/>
      <c r="L14" s="964">
        <v>44972.160000000003</v>
      </c>
      <c r="M14" s="964">
        <v>0</v>
      </c>
      <c r="N14" s="964">
        <v>228</v>
      </c>
      <c r="O14" s="963">
        <v>2747</v>
      </c>
      <c r="P14" s="654" t="s">
        <v>811</v>
      </c>
      <c r="Q14" s="964">
        <v>0</v>
      </c>
      <c r="R14" s="964">
        <v>0</v>
      </c>
      <c r="S14" s="964"/>
    </row>
    <row r="15" spans="1:19" x14ac:dyDescent="0.2">
      <c r="A15" s="945">
        <v>1232</v>
      </c>
      <c r="B15" s="951" t="s">
        <v>14</v>
      </c>
      <c r="E15" s="964">
        <v>12545.4</v>
      </c>
      <c r="F15" s="964">
        <v>210</v>
      </c>
      <c r="G15" s="964">
        <v>805450</v>
      </c>
      <c r="H15" s="964">
        <v>533.06761409628052</v>
      </c>
      <c r="I15" s="964">
        <v>20394</v>
      </c>
      <c r="J15" s="832"/>
      <c r="K15" s="832"/>
      <c r="L15" s="964">
        <v>3916.3</v>
      </c>
      <c r="M15" s="964">
        <v>0</v>
      </c>
      <c r="N15" s="964">
        <v>210</v>
      </c>
      <c r="O15" s="963">
        <v>3402</v>
      </c>
      <c r="P15" s="654" t="s">
        <v>857</v>
      </c>
      <c r="Q15" s="964">
        <v>0</v>
      </c>
      <c r="R15" s="964">
        <v>0</v>
      </c>
      <c r="S15" s="964"/>
    </row>
    <row r="16" spans="1:19" x14ac:dyDescent="0.2">
      <c r="A16" s="945">
        <v>1292</v>
      </c>
      <c r="B16" s="950" t="s">
        <v>15</v>
      </c>
      <c r="E16" s="964">
        <v>8781.7800000000007</v>
      </c>
      <c r="F16" s="964">
        <v>147</v>
      </c>
      <c r="G16" s="964">
        <v>597095</v>
      </c>
      <c r="H16" s="964">
        <v>367.10999999999967</v>
      </c>
      <c r="I16" s="964">
        <v>13511</v>
      </c>
      <c r="J16" s="832"/>
      <c r="K16" s="832"/>
      <c r="L16" s="964">
        <v>4193.45</v>
      </c>
      <c r="M16" s="964">
        <v>0</v>
      </c>
      <c r="N16" s="964">
        <v>147</v>
      </c>
      <c r="O16" s="963">
        <v>3309</v>
      </c>
      <c r="P16" s="654" t="s">
        <v>811</v>
      </c>
      <c r="Q16" s="964">
        <v>0</v>
      </c>
      <c r="R16" s="964">
        <v>0</v>
      </c>
      <c r="S16" s="964"/>
    </row>
    <row r="17" spans="1:19" x14ac:dyDescent="0.2">
      <c r="A17" s="945">
        <v>1300</v>
      </c>
      <c r="B17" s="950" t="s">
        <v>16</v>
      </c>
      <c r="E17" s="964">
        <v>6870.1</v>
      </c>
      <c r="F17" s="964">
        <v>115</v>
      </c>
      <c r="G17" s="964">
        <v>510380</v>
      </c>
      <c r="H17" s="964">
        <v>287.94999999999982</v>
      </c>
      <c r="I17" s="964">
        <v>10580</v>
      </c>
      <c r="J17" s="832"/>
      <c r="K17" s="832"/>
      <c r="L17" s="964">
        <v>14505.41</v>
      </c>
      <c r="M17" s="964">
        <v>0</v>
      </c>
      <c r="N17" s="964">
        <v>115</v>
      </c>
      <c r="O17" s="963">
        <v>3241</v>
      </c>
      <c r="P17" s="654" t="s">
        <v>811</v>
      </c>
      <c r="Q17" s="964">
        <v>0</v>
      </c>
      <c r="R17" s="964">
        <v>0</v>
      </c>
      <c r="S17" s="964"/>
    </row>
    <row r="18" spans="1:19" x14ac:dyDescent="0.2">
      <c r="A18" s="945">
        <v>2528</v>
      </c>
      <c r="B18" s="950" t="s">
        <v>17</v>
      </c>
      <c r="E18" s="964">
        <v>11470.08</v>
      </c>
      <c r="F18" s="964">
        <v>192</v>
      </c>
      <c r="G18" s="964">
        <v>735403</v>
      </c>
      <c r="H18" s="964">
        <v>479.96000000000004</v>
      </c>
      <c r="I18" s="964">
        <v>15041</v>
      </c>
      <c r="J18" s="832"/>
      <c r="K18" s="832"/>
      <c r="L18" s="964">
        <v>2405.62</v>
      </c>
      <c r="M18" s="964">
        <v>0</v>
      </c>
      <c r="N18" s="964">
        <v>192</v>
      </c>
      <c r="O18" s="963">
        <v>3324</v>
      </c>
      <c r="P18" s="654" t="s">
        <v>811</v>
      </c>
      <c r="Q18" s="964">
        <v>0</v>
      </c>
      <c r="R18" s="964">
        <v>0</v>
      </c>
      <c r="S18" s="964"/>
    </row>
    <row r="19" spans="1:19" x14ac:dyDescent="0.2">
      <c r="A19" s="945">
        <v>1696</v>
      </c>
      <c r="B19" s="950" t="s">
        <v>18</v>
      </c>
      <c r="E19" s="964">
        <v>26225.86</v>
      </c>
      <c r="F19" s="964">
        <v>439</v>
      </c>
      <c r="G19" s="964">
        <v>1505065</v>
      </c>
      <c r="H19" s="964">
        <v>1097.0699999999997</v>
      </c>
      <c r="I19" s="964">
        <v>37473</v>
      </c>
      <c r="J19" s="832"/>
      <c r="K19" s="832"/>
      <c r="L19" s="964">
        <v>8264.1</v>
      </c>
      <c r="M19" s="964">
        <v>0</v>
      </c>
      <c r="N19" s="964">
        <v>435</v>
      </c>
      <c r="O19" s="963">
        <v>3823</v>
      </c>
      <c r="P19" s="654" t="s">
        <v>811</v>
      </c>
      <c r="Q19" s="964">
        <v>0</v>
      </c>
      <c r="R19" s="964">
        <v>0</v>
      </c>
      <c r="S19" s="964"/>
    </row>
    <row r="20" spans="1:19" x14ac:dyDescent="0.2">
      <c r="A20" s="945">
        <v>1308</v>
      </c>
      <c r="B20" s="950" t="s">
        <v>19</v>
      </c>
      <c r="E20" s="964">
        <v>10096.06</v>
      </c>
      <c r="F20" s="964">
        <v>169</v>
      </c>
      <c r="G20" s="964">
        <v>693300</v>
      </c>
      <c r="H20" s="964">
        <v>429.20679420129272</v>
      </c>
      <c r="I20" s="964">
        <v>15041</v>
      </c>
      <c r="J20" s="832"/>
      <c r="K20" s="832"/>
      <c r="L20" s="964">
        <v>16757.96</v>
      </c>
      <c r="M20" s="964">
        <v>0</v>
      </c>
      <c r="N20" s="964">
        <v>169</v>
      </c>
      <c r="O20" s="963">
        <v>2640</v>
      </c>
      <c r="P20" s="654" t="s">
        <v>857</v>
      </c>
      <c r="Q20" s="964">
        <v>0</v>
      </c>
      <c r="R20" s="964">
        <v>0</v>
      </c>
      <c r="S20" s="964"/>
    </row>
    <row r="21" spans="1:19" x14ac:dyDescent="0.2">
      <c r="A21" s="945">
        <v>1316</v>
      </c>
      <c r="B21" s="950" t="s">
        <v>20</v>
      </c>
      <c r="E21" s="964">
        <v>13023.32</v>
      </c>
      <c r="F21" s="964">
        <v>218</v>
      </c>
      <c r="G21" s="964">
        <v>846513</v>
      </c>
      <c r="H21" s="964">
        <v>545.34000000000015</v>
      </c>
      <c r="I21" s="964">
        <v>14531</v>
      </c>
      <c r="J21" s="832"/>
      <c r="K21" s="832"/>
      <c r="L21" s="964">
        <v>9025.09</v>
      </c>
      <c r="M21" s="964">
        <v>0</v>
      </c>
      <c r="N21" s="964">
        <v>218</v>
      </c>
      <c r="O21" s="963">
        <v>2250</v>
      </c>
      <c r="P21" s="654" t="s">
        <v>811</v>
      </c>
      <c r="Q21" s="964">
        <v>0</v>
      </c>
      <c r="R21" s="964">
        <v>0</v>
      </c>
      <c r="S21" s="964"/>
    </row>
    <row r="22" spans="1:19" x14ac:dyDescent="0.2">
      <c r="A22" s="945">
        <v>1324</v>
      </c>
      <c r="B22" s="950" t="s">
        <v>21</v>
      </c>
      <c r="E22" s="964">
        <v>13142.800000000001</v>
      </c>
      <c r="F22" s="964">
        <v>220</v>
      </c>
      <c r="G22" s="964">
        <v>869524</v>
      </c>
      <c r="H22" s="964">
        <v>549.59999999999945</v>
      </c>
      <c r="I22" s="964">
        <v>20649</v>
      </c>
      <c r="J22" s="832"/>
      <c r="K22" s="832"/>
      <c r="L22" s="964">
        <v>25175.59</v>
      </c>
      <c r="M22" s="964">
        <v>0</v>
      </c>
      <c r="N22" s="964">
        <v>219</v>
      </c>
      <c r="O22" s="963">
        <v>2659</v>
      </c>
      <c r="P22" s="654" t="s">
        <v>811</v>
      </c>
      <c r="Q22" s="964">
        <v>0</v>
      </c>
      <c r="R22" s="964">
        <v>0</v>
      </c>
      <c r="S22" s="964"/>
    </row>
    <row r="23" spans="1:19" x14ac:dyDescent="0.2">
      <c r="A23" s="945">
        <v>1340</v>
      </c>
      <c r="B23" s="951" t="s">
        <v>22</v>
      </c>
      <c r="E23" s="964">
        <v>12127.220000000001</v>
      </c>
      <c r="F23" s="964">
        <v>203</v>
      </c>
      <c r="G23" s="964">
        <v>1044881</v>
      </c>
      <c r="H23" s="964">
        <v>507.38999999999942</v>
      </c>
      <c r="I23" s="964">
        <v>20521</v>
      </c>
      <c r="J23" s="832"/>
      <c r="K23" s="832"/>
      <c r="L23" s="964">
        <v>21365.5</v>
      </c>
      <c r="M23" s="964">
        <v>237430</v>
      </c>
      <c r="N23" s="964">
        <v>203</v>
      </c>
      <c r="O23" s="963">
        <v>3018</v>
      </c>
      <c r="P23" s="654" t="s">
        <v>811</v>
      </c>
      <c r="Q23" s="964">
        <v>0</v>
      </c>
      <c r="R23" s="964">
        <v>0</v>
      </c>
      <c r="S23" s="964"/>
    </row>
    <row r="24" spans="1:19" x14ac:dyDescent="0.2">
      <c r="A24" s="945">
        <v>1348</v>
      </c>
      <c r="B24" s="950" t="s">
        <v>23</v>
      </c>
      <c r="E24" s="964">
        <v>5914.26</v>
      </c>
      <c r="F24" s="964">
        <v>99</v>
      </c>
      <c r="G24" s="964">
        <v>717748</v>
      </c>
      <c r="H24" s="964">
        <v>247.86999999999989</v>
      </c>
      <c r="I24" s="964">
        <v>8795</v>
      </c>
      <c r="J24" s="832"/>
      <c r="K24" s="832"/>
      <c r="L24" s="964">
        <v>12967.5</v>
      </c>
      <c r="M24" s="964">
        <v>237430</v>
      </c>
      <c r="N24" s="964">
        <v>99</v>
      </c>
      <c r="O24" s="963">
        <v>2044</v>
      </c>
      <c r="P24" s="654" t="s">
        <v>811</v>
      </c>
      <c r="Q24" s="964">
        <v>0</v>
      </c>
      <c r="R24" s="964">
        <v>0</v>
      </c>
      <c r="S24" s="964"/>
    </row>
    <row r="25" spans="1:19" x14ac:dyDescent="0.2">
      <c r="A25" s="945">
        <v>1460</v>
      </c>
      <c r="B25" s="950" t="s">
        <v>935</v>
      </c>
      <c r="E25" s="964">
        <v>39667.360000000001</v>
      </c>
      <c r="F25" s="964">
        <v>664</v>
      </c>
      <c r="G25" s="964">
        <v>2338800</v>
      </c>
      <c r="H25" s="964">
        <v>1660.3199999999997</v>
      </c>
      <c r="I25" s="964">
        <v>48817</v>
      </c>
      <c r="J25" s="832"/>
      <c r="K25" s="832"/>
      <c r="L25" s="964">
        <v>38190.480000000003</v>
      </c>
      <c r="M25" s="964">
        <v>0</v>
      </c>
      <c r="N25" s="964">
        <v>664</v>
      </c>
      <c r="O25" s="963">
        <v>2068</v>
      </c>
      <c r="P25" s="654" t="s">
        <v>811</v>
      </c>
      <c r="Q25" s="964">
        <v>105000</v>
      </c>
      <c r="R25" s="964">
        <v>0</v>
      </c>
      <c r="S25" s="964"/>
    </row>
    <row r="26" spans="1:19" x14ac:dyDescent="0.2">
      <c r="A26" s="946">
        <v>1251</v>
      </c>
      <c r="B26" s="950" t="s">
        <v>24</v>
      </c>
      <c r="E26" s="964">
        <v>29606.148333333334</v>
      </c>
      <c r="F26" s="964">
        <v>495.58333333333331</v>
      </c>
      <c r="G26" s="964">
        <v>1732208</v>
      </c>
      <c r="H26" s="964">
        <v>1258.4436908851494</v>
      </c>
      <c r="I26" s="964">
        <v>43081</v>
      </c>
      <c r="J26" s="832"/>
      <c r="K26" s="832"/>
      <c r="L26" s="964">
        <v>24566.07</v>
      </c>
      <c r="M26" s="964">
        <v>0</v>
      </c>
      <c r="N26" s="964">
        <v>492.58333333333331</v>
      </c>
      <c r="O26" s="963">
        <v>2015</v>
      </c>
      <c r="P26" s="654" t="s">
        <v>857</v>
      </c>
      <c r="Q26" s="964">
        <v>0</v>
      </c>
      <c r="R26" s="964">
        <v>0</v>
      </c>
      <c r="S26" s="964"/>
    </row>
    <row r="27" spans="1:19" x14ac:dyDescent="0.2">
      <c r="A27" s="947">
        <v>1814</v>
      </c>
      <c r="B27" s="950" t="s">
        <v>25</v>
      </c>
      <c r="E27" s="964">
        <v>24015.48</v>
      </c>
      <c r="F27" s="964">
        <v>402</v>
      </c>
      <c r="G27" s="964">
        <v>1432163</v>
      </c>
      <c r="H27" s="964">
        <v>1005.2600000000002</v>
      </c>
      <c r="I27" s="964">
        <v>34414</v>
      </c>
      <c r="J27" s="832"/>
      <c r="K27" s="832"/>
      <c r="L27" s="964">
        <v>6732.11</v>
      </c>
      <c r="M27" s="964">
        <v>0</v>
      </c>
      <c r="N27" s="964">
        <v>401</v>
      </c>
      <c r="O27" s="963">
        <v>5280</v>
      </c>
      <c r="P27" s="654" t="s">
        <v>811</v>
      </c>
      <c r="Q27" s="964">
        <v>0</v>
      </c>
      <c r="R27" s="964">
        <v>0</v>
      </c>
      <c r="S27" s="964"/>
    </row>
    <row r="28" spans="1:19" x14ac:dyDescent="0.2">
      <c r="A28" s="947">
        <v>1476</v>
      </c>
      <c r="B28" s="950" t="s">
        <v>26</v>
      </c>
      <c r="E28" s="964">
        <v>19161.605</v>
      </c>
      <c r="F28" s="964">
        <v>320.75</v>
      </c>
      <c r="G28" s="964">
        <v>1131689</v>
      </c>
      <c r="H28" s="964">
        <v>801.69750000000113</v>
      </c>
      <c r="I28" s="964">
        <v>24345</v>
      </c>
      <c r="J28" s="832"/>
      <c r="K28" s="832"/>
      <c r="L28" s="964">
        <v>5231.55</v>
      </c>
      <c r="M28" s="964">
        <v>0</v>
      </c>
      <c r="N28" s="964">
        <v>319.75</v>
      </c>
      <c r="O28" s="963">
        <v>5252</v>
      </c>
      <c r="P28" s="654" t="s">
        <v>811</v>
      </c>
      <c r="Q28" s="964">
        <v>0</v>
      </c>
      <c r="R28" s="964">
        <v>0</v>
      </c>
      <c r="S28" s="964"/>
    </row>
    <row r="29" spans="1:19" x14ac:dyDescent="0.2">
      <c r="A29" s="945">
        <v>4856</v>
      </c>
      <c r="B29" s="950" t="s">
        <v>27</v>
      </c>
      <c r="E29" s="964">
        <v>10275.280000000001</v>
      </c>
      <c r="F29" s="964">
        <v>172</v>
      </c>
      <c r="G29" s="964">
        <v>690761</v>
      </c>
      <c r="H29" s="964">
        <v>430.35999999999967</v>
      </c>
      <c r="I29" s="964">
        <v>35179</v>
      </c>
      <c r="J29" s="832"/>
      <c r="K29" s="832"/>
      <c r="L29" s="964">
        <v>16764.8</v>
      </c>
      <c r="M29" s="964">
        <v>0</v>
      </c>
      <c r="N29" s="964">
        <v>172</v>
      </c>
      <c r="O29" s="963">
        <v>2069</v>
      </c>
      <c r="P29" s="654" t="s">
        <v>811</v>
      </c>
      <c r="Q29" s="964">
        <v>0</v>
      </c>
      <c r="R29" s="964">
        <v>0</v>
      </c>
      <c r="S29" s="964"/>
    </row>
    <row r="30" spans="1:19" x14ac:dyDescent="0.2">
      <c r="A30" s="945">
        <v>4854</v>
      </c>
      <c r="B30" s="950" t="s">
        <v>28</v>
      </c>
      <c r="E30" s="964">
        <v>13322.02</v>
      </c>
      <c r="F30" s="964">
        <v>223</v>
      </c>
      <c r="G30" s="964">
        <v>846018</v>
      </c>
      <c r="H30" s="964">
        <v>557.98999999999978</v>
      </c>
      <c r="I30" s="964">
        <v>0</v>
      </c>
      <c r="J30" s="832"/>
      <c r="K30" s="832"/>
      <c r="L30" s="964">
        <v>16044.34</v>
      </c>
      <c r="M30" s="964">
        <v>0</v>
      </c>
      <c r="N30" s="964">
        <v>223</v>
      </c>
      <c r="O30" s="963">
        <v>2073</v>
      </c>
      <c r="P30" s="654" t="s">
        <v>811</v>
      </c>
      <c r="Q30" s="964">
        <v>0</v>
      </c>
      <c r="R30" s="964">
        <v>0</v>
      </c>
      <c r="S30" s="964"/>
    </row>
    <row r="31" spans="1:19" x14ac:dyDescent="0.2">
      <c r="A31" s="945">
        <v>1484</v>
      </c>
      <c r="B31" s="950" t="s">
        <v>29</v>
      </c>
      <c r="E31" s="964">
        <v>24075.22</v>
      </c>
      <c r="F31" s="964">
        <v>403</v>
      </c>
      <c r="G31" s="964">
        <v>1422790</v>
      </c>
      <c r="H31" s="964">
        <v>1023.3392784800035</v>
      </c>
      <c r="I31" s="964">
        <v>40405</v>
      </c>
      <c r="J31" s="832"/>
      <c r="K31" s="832"/>
      <c r="L31" s="964">
        <v>40008.5</v>
      </c>
      <c r="M31" s="964">
        <v>0</v>
      </c>
      <c r="N31" s="964">
        <v>401</v>
      </c>
      <c r="O31" s="963">
        <v>2973</v>
      </c>
      <c r="P31" s="654" t="s">
        <v>857</v>
      </c>
      <c r="Q31" s="964">
        <v>0</v>
      </c>
      <c r="R31" s="964">
        <v>0</v>
      </c>
      <c r="S31" s="964"/>
    </row>
    <row r="32" spans="1:19" x14ac:dyDescent="0.2">
      <c r="A32" s="945">
        <v>1496</v>
      </c>
      <c r="B32" s="950" t="s">
        <v>861</v>
      </c>
      <c r="E32" s="964">
        <v>2987</v>
      </c>
      <c r="F32" s="964">
        <v>50</v>
      </c>
      <c r="G32" s="964">
        <v>313333</v>
      </c>
      <c r="H32" s="964">
        <v>125.5</v>
      </c>
      <c r="I32" s="964">
        <v>5609</v>
      </c>
      <c r="J32" s="832"/>
      <c r="K32" s="832"/>
      <c r="L32" s="964">
        <v>8491.2999999999993</v>
      </c>
      <c r="M32" s="964">
        <v>0</v>
      </c>
      <c r="N32" s="964">
        <v>49</v>
      </c>
      <c r="O32" s="963">
        <v>3008</v>
      </c>
      <c r="P32" s="654" t="s">
        <v>811</v>
      </c>
      <c r="Q32" s="964">
        <v>0</v>
      </c>
      <c r="R32" s="964">
        <v>0</v>
      </c>
      <c r="S32" s="964"/>
    </row>
    <row r="33" spans="1:19" x14ac:dyDescent="0.2">
      <c r="A33" s="945">
        <v>1504</v>
      </c>
      <c r="B33" s="950" t="s">
        <v>30</v>
      </c>
      <c r="E33" s="964">
        <v>24672.620000000003</v>
      </c>
      <c r="F33" s="964">
        <v>413</v>
      </c>
      <c r="G33" s="964">
        <v>1470152</v>
      </c>
      <c r="H33" s="964">
        <v>1032.6899999999987</v>
      </c>
      <c r="I33" s="964">
        <v>37983</v>
      </c>
      <c r="J33" s="832"/>
      <c r="K33" s="832"/>
      <c r="L33" s="964">
        <v>38532</v>
      </c>
      <c r="M33" s="964">
        <v>0</v>
      </c>
      <c r="N33" s="964">
        <v>413</v>
      </c>
      <c r="O33" s="963">
        <v>2310</v>
      </c>
      <c r="P33" s="654" t="s">
        <v>811</v>
      </c>
      <c r="Q33" s="964">
        <v>0</v>
      </c>
      <c r="R33" s="964">
        <v>0</v>
      </c>
      <c r="S33" s="964"/>
    </row>
    <row r="34" spans="1:19" x14ac:dyDescent="0.2">
      <c r="A34" s="947">
        <v>1254</v>
      </c>
      <c r="B34" s="950" t="s">
        <v>31</v>
      </c>
      <c r="E34" s="964">
        <v>21506.400000000001</v>
      </c>
      <c r="F34" s="964">
        <v>360</v>
      </c>
      <c r="G34" s="964">
        <v>1250472</v>
      </c>
      <c r="H34" s="964">
        <v>913.97305273647908</v>
      </c>
      <c r="I34" s="964">
        <v>80809</v>
      </c>
      <c r="J34" s="832"/>
      <c r="K34" s="832"/>
      <c r="L34" s="964">
        <v>4975.43</v>
      </c>
      <c r="M34" s="964">
        <v>0</v>
      </c>
      <c r="N34" s="964">
        <v>360</v>
      </c>
      <c r="O34" s="963">
        <v>5236</v>
      </c>
      <c r="P34" s="654" t="s">
        <v>857</v>
      </c>
      <c r="Q34" s="964">
        <v>0</v>
      </c>
      <c r="R34" s="964">
        <v>0</v>
      </c>
      <c r="S34" s="964"/>
    </row>
    <row r="35" spans="1:19" x14ac:dyDescent="0.2">
      <c r="A35" s="945">
        <v>1560</v>
      </c>
      <c r="B35" s="950" t="s">
        <v>32</v>
      </c>
      <c r="E35" s="964">
        <v>7407.76</v>
      </c>
      <c r="F35" s="964">
        <v>124</v>
      </c>
      <c r="G35" s="964">
        <v>550456</v>
      </c>
      <c r="H35" s="964">
        <v>310.11999999999989</v>
      </c>
      <c r="I35" s="964">
        <v>12491</v>
      </c>
      <c r="J35" s="832"/>
      <c r="K35" s="832"/>
      <c r="L35" s="964">
        <v>24613.599999999999</v>
      </c>
      <c r="M35" s="964">
        <v>0</v>
      </c>
      <c r="N35" s="964">
        <v>124</v>
      </c>
      <c r="O35" s="963">
        <v>3103</v>
      </c>
      <c r="P35" s="654" t="s">
        <v>811</v>
      </c>
      <c r="Q35" s="964">
        <v>0</v>
      </c>
      <c r="R35" s="964">
        <v>0</v>
      </c>
      <c r="S35" s="964"/>
    </row>
    <row r="36" spans="1:19" x14ac:dyDescent="0.2">
      <c r="A36" s="945">
        <v>1564</v>
      </c>
      <c r="B36" s="950" t="s">
        <v>33</v>
      </c>
      <c r="E36" s="964">
        <v>10753.2</v>
      </c>
      <c r="F36" s="964">
        <v>180</v>
      </c>
      <c r="G36" s="964">
        <v>759099</v>
      </c>
      <c r="H36" s="964">
        <v>450.39999999999964</v>
      </c>
      <c r="I36" s="964">
        <v>21031</v>
      </c>
      <c r="J36" s="832"/>
      <c r="K36" s="832"/>
      <c r="L36" s="964">
        <v>12556.93</v>
      </c>
      <c r="M36" s="964">
        <v>0</v>
      </c>
      <c r="N36" s="964">
        <v>180</v>
      </c>
      <c r="O36" s="963">
        <v>2751</v>
      </c>
      <c r="P36" s="654" t="s">
        <v>811</v>
      </c>
      <c r="Q36" s="964">
        <v>0</v>
      </c>
      <c r="R36" s="964">
        <v>0</v>
      </c>
      <c r="S36" s="964"/>
    </row>
    <row r="37" spans="1:19" x14ac:dyDescent="0.2">
      <c r="A37" s="945">
        <v>1562</v>
      </c>
      <c r="B37" s="950" t="s">
        <v>34</v>
      </c>
      <c r="E37" s="964">
        <v>14158.380000000001</v>
      </c>
      <c r="F37" s="964">
        <v>237</v>
      </c>
      <c r="G37" s="964">
        <v>954007</v>
      </c>
      <c r="H37" s="964">
        <v>592.80999999999949</v>
      </c>
      <c r="I37" s="964">
        <v>0</v>
      </c>
      <c r="J37" s="832"/>
      <c r="K37" s="832"/>
      <c r="L37" s="964">
        <v>12030.16</v>
      </c>
      <c r="M37" s="964">
        <v>0</v>
      </c>
      <c r="N37" s="964">
        <v>237</v>
      </c>
      <c r="O37" s="963">
        <v>2311</v>
      </c>
      <c r="P37" s="654" t="s">
        <v>811</v>
      </c>
      <c r="Q37" s="964">
        <v>0</v>
      </c>
      <c r="R37" s="964">
        <v>0</v>
      </c>
      <c r="S37" s="964"/>
    </row>
    <row r="38" spans="1:19" x14ac:dyDescent="0.2">
      <c r="A38" s="947">
        <v>1646</v>
      </c>
      <c r="B38" s="950" t="s">
        <v>35</v>
      </c>
      <c r="E38" s="964">
        <v>18340.18</v>
      </c>
      <c r="F38" s="964">
        <v>307</v>
      </c>
      <c r="G38" s="964">
        <v>1097346</v>
      </c>
      <c r="H38" s="964">
        <v>767.90999999999985</v>
      </c>
      <c r="I38" s="964">
        <v>28806</v>
      </c>
      <c r="J38" s="832"/>
      <c r="K38" s="832"/>
      <c r="L38" s="964">
        <v>5360.48</v>
      </c>
      <c r="M38" s="964">
        <v>0</v>
      </c>
      <c r="N38" s="964">
        <v>307</v>
      </c>
      <c r="O38" s="963">
        <v>5249</v>
      </c>
      <c r="P38" s="654" t="s">
        <v>811</v>
      </c>
      <c r="Q38" s="964">
        <v>0</v>
      </c>
      <c r="R38" s="964">
        <v>0</v>
      </c>
      <c r="S38" s="964"/>
    </row>
    <row r="39" spans="1:19" x14ac:dyDescent="0.2">
      <c r="A39" s="945">
        <v>1643</v>
      </c>
      <c r="B39" s="950" t="s">
        <v>36</v>
      </c>
      <c r="E39" s="964">
        <v>14397.34</v>
      </c>
      <c r="F39" s="964">
        <v>241</v>
      </c>
      <c r="G39" s="964">
        <v>909068</v>
      </c>
      <c r="H39" s="964">
        <v>602.32999999999993</v>
      </c>
      <c r="I39" s="964">
        <v>18737</v>
      </c>
      <c r="J39" s="832"/>
      <c r="K39" s="832"/>
      <c r="L39" s="964">
        <v>32607.35</v>
      </c>
      <c r="M39" s="964">
        <v>0</v>
      </c>
      <c r="N39" s="964">
        <v>241</v>
      </c>
      <c r="O39" s="963">
        <v>3826</v>
      </c>
      <c r="P39" s="654" t="s">
        <v>811</v>
      </c>
      <c r="Q39" s="964">
        <v>0</v>
      </c>
      <c r="R39" s="964">
        <v>0</v>
      </c>
      <c r="S39" s="964"/>
    </row>
    <row r="40" spans="1:19" x14ac:dyDescent="0.2">
      <c r="A40" s="945">
        <v>1634</v>
      </c>
      <c r="B40" s="950" t="s">
        <v>37</v>
      </c>
      <c r="E40" s="964">
        <v>6272.7</v>
      </c>
      <c r="F40" s="964">
        <v>105</v>
      </c>
      <c r="G40" s="964">
        <v>467704</v>
      </c>
      <c r="H40" s="964">
        <v>262.65000000000009</v>
      </c>
      <c r="I40" s="964">
        <v>10962</v>
      </c>
      <c r="J40" s="832"/>
      <c r="K40" s="832"/>
      <c r="L40" s="964">
        <v>5520.07</v>
      </c>
      <c r="M40" s="964">
        <v>0</v>
      </c>
      <c r="N40" s="964">
        <v>105</v>
      </c>
      <c r="O40" s="963">
        <v>3019</v>
      </c>
      <c r="P40" s="654" t="s">
        <v>811</v>
      </c>
      <c r="Q40" s="964">
        <v>0</v>
      </c>
      <c r="R40" s="964">
        <v>0</v>
      </c>
      <c r="S40" s="964"/>
    </row>
    <row r="41" spans="1:19" x14ac:dyDescent="0.2">
      <c r="A41" s="947">
        <v>2844</v>
      </c>
      <c r="B41" s="950" t="s">
        <v>38</v>
      </c>
      <c r="E41" s="964">
        <v>24851.84</v>
      </c>
      <c r="F41" s="964">
        <v>416</v>
      </c>
      <c r="G41" s="964">
        <v>1544281</v>
      </c>
      <c r="H41" s="964">
        <v>1040.08</v>
      </c>
      <c r="I41" s="964">
        <v>32120</v>
      </c>
      <c r="J41" s="832"/>
      <c r="K41" s="832"/>
      <c r="L41" s="964">
        <v>33465.4</v>
      </c>
      <c r="M41" s="964">
        <v>0</v>
      </c>
      <c r="N41" s="964">
        <v>416</v>
      </c>
      <c r="O41" s="963">
        <v>5261</v>
      </c>
      <c r="P41" s="654" t="s">
        <v>811</v>
      </c>
      <c r="Q41" s="964">
        <v>0</v>
      </c>
      <c r="R41" s="964">
        <v>0</v>
      </c>
      <c r="S41" s="964"/>
    </row>
    <row r="42" spans="1:19" x14ac:dyDescent="0.2">
      <c r="A42" s="945">
        <v>4816</v>
      </c>
      <c r="B42" s="950" t="s">
        <v>862</v>
      </c>
      <c r="E42" s="964">
        <v>20645.148333333334</v>
      </c>
      <c r="F42" s="964">
        <v>345.58333333333331</v>
      </c>
      <c r="G42" s="964">
        <v>1262654</v>
      </c>
      <c r="H42" s="964">
        <v>863.92583333333278</v>
      </c>
      <c r="I42" s="964">
        <v>36708</v>
      </c>
      <c r="J42" s="832"/>
      <c r="K42" s="832"/>
      <c r="L42" s="964">
        <v>58203.69</v>
      </c>
      <c r="M42" s="964">
        <v>0</v>
      </c>
      <c r="N42" s="964">
        <v>344.58333333333331</v>
      </c>
      <c r="O42" s="963">
        <v>2330</v>
      </c>
      <c r="P42" s="654" t="s">
        <v>811</v>
      </c>
      <c r="Q42" s="964">
        <v>0</v>
      </c>
      <c r="R42" s="964">
        <v>0</v>
      </c>
      <c r="S42" s="964"/>
    </row>
    <row r="43" spans="1:19" x14ac:dyDescent="0.2">
      <c r="A43" s="945">
        <v>1760</v>
      </c>
      <c r="B43" s="950" t="s">
        <v>39</v>
      </c>
      <c r="E43" s="964">
        <v>5794.78</v>
      </c>
      <c r="F43" s="964">
        <v>97</v>
      </c>
      <c r="G43" s="964">
        <v>436620</v>
      </c>
      <c r="H43" s="964">
        <v>242.61000000000013</v>
      </c>
      <c r="I43" s="964">
        <v>10834</v>
      </c>
      <c r="J43" s="832"/>
      <c r="K43" s="832"/>
      <c r="L43" s="964">
        <v>-1787.02</v>
      </c>
      <c r="M43" s="964">
        <v>0</v>
      </c>
      <c r="N43" s="964">
        <v>97</v>
      </c>
      <c r="O43" s="963">
        <v>3795</v>
      </c>
      <c r="P43" s="654" t="s">
        <v>811</v>
      </c>
      <c r="Q43" s="964">
        <v>0</v>
      </c>
      <c r="R43" s="964">
        <v>0</v>
      </c>
      <c r="S43" s="964"/>
    </row>
    <row r="44" spans="1:19" x14ac:dyDescent="0.2">
      <c r="A44" s="945">
        <v>2706</v>
      </c>
      <c r="B44" s="950" t="s">
        <v>40</v>
      </c>
      <c r="E44" s="964">
        <v>31064.799999999999</v>
      </c>
      <c r="F44" s="964">
        <v>520</v>
      </c>
      <c r="G44" s="964">
        <v>1851171</v>
      </c>
      <c r="H44" s="964">
        <v>1320.4055206193607</v>
      </c>
      <c r="I44" s="964">
        <v>53915</v>
      </c>
      <c r="J44" s="832"/>
      <c r="K44" s="832"/>
      <c r="L44" s="964">
        <v>63291</v>
      </c>
      <c r="M44" s="964">
        <v>0</v>
      </c>
      <c r="N44" s="964">
        <v>520</v>
      </c>
      <c r="O44" s="963">
        <v>2082</v>
      </c>
      <c r="P44" s="654" t="s">
        <v>857</v>
      </c>
      <c r="Q44" s="964">
        <v>0</v>
      </c>
      <c r="R44" s="964">
        <v>0</v>
      </c>
      <c r="S44" s="964"/>
    </row>
    <row r="45" spans="1:19" x14ac:dyDescent="0.2">
      <c r="A45" s="945">
        <v>2708</v>
      </c>
      <c r="B45" s="950" t="s">
        <v>41</v>
      </c>
      <c r="E45" s="964">
        <v>12007.74</v>
      </c>
      <c r="F45" s="964">
        <v>201</v>
      </c>
      <c r="G45" s="964">
        <v>784521</v>
      </c>
      <c r="H45" s="964">
        <v>510.2932877778685</v>
      </c>
      <c r="I45" s="964">
        <v>18354</v>
      </c>
      <c r="J45" s="832"/>
      <c r="K45" s="832"/>
      <c r="L45" s="964">
        <v>4515.7700000000004</v>
      </c>
      <c r="M45" s="964">
        <v>0</v>
      </c>
      <c r="N45" s="964">
        <v>201</v>
      </c>
      <c r="O45" s="963">
        <v>3501</v>
      </c>
      <c r="P45" s="654" t="s">
        <v>857</v>
      </c>
      <c r="Q45" s="964">
        <v>0</v>
      </c>
      <c r="R45" s="964">
        <v>0</v>
      </c>
      <c r="S45" s="964"/>
    </row>
    <row r="46" spans="1:19" x14ac:dyDescent="0.2">
      <c r="A46" s="945">
        <v>1802</v>
      </c>
      <c r="B46" s="951" t="s">
        <v>42</v>
      </c>
      <c r="E46" s="964">
        <v>12062.501666666667</v>
      </c>
      <c r="F46" s="964">
        <v>201.91666666666666</v>
      </c>
      <c r="G46" s="964">
        <v>754875</v>
      </c>
      <c r="H46" s="964">
        <v>505.2491666666665</v>
      </c>
      <c r="I46" s="964">
        <v>20649</v>
      </c>
      <c r="J46" s="832"/>
      <c r="K46" s="832"/>
      <c r="L46" s="964">
        <v>1535.78</v>
      </c>
      <c r="M46" s="964">
        <v>0</v>
      </c>
      <c r="N46" s="964">
        <v>201.91666666666666</v>
      </c>
      <c r="O46" s="963">
        <v>2720</v>
      </c>
      <c r="P46" s="654" t="s">
        <v>811</v>
      </c>
      <c r="Q46" s="964">
        <v>0</v>
      </c>
      <c r="R46" s="964">
        <v>0</v>
      </c>
      <c r="S46" s="964"/>
    </row>
    <row r="47" spans="1:19" x14ac:dyDescent="0.2">
      <c r="A47" s="945">
        <v>1950</v>
      </c>
      <c r="B47" s="950" t="s">
        <v>43</v>
      </c>
      <c r="E47" s="964">
        <v>9020.74</v>
      </c>
      <c r="F47" s="964">
        <v>151</v>
      </c>
      <c r="G47" s="964">
        <v>611718</v>
      </c>
      <c r="H47" s="964">
        <v>377.63000000000056</v>
      </c>
      <c r="I47" s="964">
        <v>15168</v>
      </c>
      <c r="J47" s="832"/>
      <c r="K47" s="832"/>
      <c r="L47" s="964">
        <v>12241.75</v>
      </c>
      <c r="M47" s="964">
        <v>0</v>
      </c>
      <c r="N47" s="964">
        <v>151</v>
      </c>
      <c r="O47" s="963">
        <v>2590</v>
      </c>
      <c r="P47" s="654" t="s">
        <v>811</v>
      </c>
      <c r="Q47" s="964">
        <v>0</v>
      </c>
      <c r="R47" s="964">
        <v>0</v>
      </c>
      <c r="S47" s="964"/>
    </row>
    <row r="48" spans="1:19" x14ac:dyDescent="0.2">
      <c r="A48" s="947">
        <v>4146</v>
      </c>
      <c r="B48" s="950" t="s">
        <v>44</v>
      </c>
      <c r="E48" s="964">
        <v>13680.460000000001</v>
      </c>
      <c r="F48" s="964">
        <v>229</v>
      </c>
      <c r="G48" s="964">
        <v>852458</v>
      </c>
      <c r="H48" s="964">
        <v>572.76999999999953</v>
      </c>
      <c r="I48" s="964">
        <v>20394</v>
      </c>
      <c r="J48" s="832"/>
      <c r="K48" s="832"/>
      <c r="L48" s="964">
        <v>7914.8</v>
      </c>
      <c r="M48" s="964">
        <v>0</v>
      </c>
      <c r="N48" s="964">
        <v>229</v>
      </c>
      <c r="O48" s="963">
        <v>5265</v>
      </c>
      <c r="P48" s="654" t="s">
        <v>811</v>
      </c>
      <c r="Q48" s="964">
        <v>0</v>
      </c>
      <c r="R48" s="964">
        <v>0</v>
      </c>
      <c r="S48" s="964"/>
    </row>
    <row r="49" spans="1:19" x14ac:dyDescent="0.2">
      <c r="A49" s="945">
        <v>1974</v>
      </c>
      <c r="B49" s="950" t="s">
        <v>45</v>
      </c>
      <c r="E49" s="964">
        <v>11410.34</v>
      </c>
      <c r="F49" s="964">
        <v>191</v>
      </c>
      <c r="G49" s="964">
        <v>773444</v>
      </c>
      <c r="H49" s="964">
        <v>484.76625853518817</v>
      </c>
      <c r="I49" s="964">
        <v>18354</v>
      </c>
      <c r="J49" s="832"/>
      <c r="K49" s="832"/>
      <c r="L49" s="964">
        <v>14164.5</v>
      </c>
      <c r="M49" s="964">
        <v>0</v>
      </c>
      <c r="N49" s="964">
        <v>190</v>
      </c>
      <c r="O49" s="963">
        <v>3123</v>
      </c>
      <c r="P49" s="654" t="s">
        <v>857</v>
      </c>
      <c r="Q49" s="964">
        <v>0</v>
      </c>
      <c r="R49" s="964">
        <v>0</v>
      </c>
      <c r="S49" s="964"/>
    </row>
    <row r="50" spans="1:19" x14ac:dyDescent="0.2">
      <c r="A50" s="945">
        <v>1966</v>
      </c>
      <c r="B50" s="950" t="s">
        <v>46</v>
      </c>
      <c r="E50" s="964">
        <v>12844.1</v>
      </c>
      <c r="F50" s="964">
        <v>215</v>
      </c>
      <c r="G50" s="964">
        <v>807865</v>
      </c>
      <c r="H50" s="964">
        <v>537.94999999999982</v>
      </c>
      <c r="I50" s="964">
        <v>21668</v>
      </c>
      <c r="J50" s="832"/>
      <c r="K50" s="832"/>
      <c r="L50" s="964">
        <v>16425.5</v>
      </c>
      <c r="M50" s="964">
        <v>0</v>
      </c>
      <c r="N50" s="964">
        <v>215</v>
      </c>
      <c r="O50" s="963">
        <v>3020</v>
      </c>
      <c r="P50" s="654" t="s">
        <v>811</v>
      </c>
      <c r="Q50" s="964">
        <v>0</v>
      </c>
      <c r="R50" s="964">
        <v>0</v>
      </c>
      <c r="S50" s="964"/>
    </row>
    <row r="51" spans="1:19" x14ac:dyDescent="0.2">
      <c r="A51" s="945">
        <v>2016</v>
      </c>
      <c r="B51" s="950" t="s">
        <v>47</v>
      </c>
      <c r="E51" s="964">
        <v>11519.863333333335</v>
      </c>
      <c r="F51" s="964">
        <v>192.83333333333334</v>
      </c>
      <c r="G51" s="964">
        <v>769865</v>
      </c>
      <c r="H51" s="964">
        <v>482.06833333333179</v>
      </c>
      <c r="I51" s="964">
        <v>14276</v>
      </c>
      <c r="J51" s="832"/>
      <c r="K51" s="832"/>
      <c r="L51" s="964">
        <v>18722.599999999999</v>
      </c>
      <c r="M51" s="964">
        <v>0</v>
      </c>
      <c r="N51" s="964">
        <v>191.83333333333334</v>
      </c>
      <c r="O51" s="963">
        <v>2370</v>
      </c>
      <c r="P51" s="654" t="s">
        <v>811</v>
      </c>
      <c r="Q51" s="964">
        <v>0</v>
      </c>
      <c r="R51" s="964">
        <v>0</v>
      </c>
      <c r="S51" s="964"/>
    </row>
    <row r="52" spans="1:19" x14ac:dyDescent="0.2">
      <c r="A52" s="945">
        <v>2070</v>
      </c>
      <c r="B52" s="950" t="s">
        <v>48</v>
      </c>
      <c r="E52" s="964">
        <v>15412.92</v>
      </c>
      <c r="F52" s="964">
        <v>258</v>
      </c>
      <c r="G52" s="964">
        <v>948280</v>
      </c>
      <c r="H52" s="964">
        <v>644.54</v>
      </c>
      <c r="I52" s="964">
        <v>25110</v>
      </c>
      <c r="J52" s="832"/>
      <c r="K52" s="832"/>
      <c r="L52" s="964">
        <v>28677</v>
      </c>
      <c r="M52" s="964">
        <v>0</v>
      </c>
      <c r="N52" s="964">
        <v>258</v>
      </c>
      <c r="O52" s="963">
        <v>2779</v>
      </c>
      <c r="P52" s="654" t="s">
        <v>811</v>
      </c>
      <c r="Q52" s="964">
        <v>0</v>
      </c>
      <c r="R52" s="964">
        <v>0</v>
      </c>
      <c r="S52" s="964"/>
    </row>
    <row r="53" spans="1:19" x14ac:dyDescent="0.2">
      <c r="A53" s="945">
        <v>1610</v>
      </c>
      <c r="B53" s="950" t="s">
        <v>49</v>
      </c>
      <c r="E53" s="964">
        <v>10086.103333333334</v>
      </c>
      <c r="F53" s="964">
        <v>168.83333333333334</v>
      </c>
      <c r="G53" s="964">
        <v>696049</v>
      </c>
      <c r="H53" s="964">
        <v>421.94833333333236</v>
      </c>
      <c r="I53" s="964">
        <v>15168</v>
      </c>
      <c r="J53" s="832"/>
      <c r="K53" s="832"/>
      <c r="L53" s="964">
        <v>22352.28</v>
      </c>
      <c r="M53" s="964">
        <v>0</v>
      </c>
      <c r="N53" s="964">
        <v>168.83333333333334</v>
      </c>
      <c r="O53" s="963">
        <v>2034</v>
      </c>
      <c r="P53" s="654" t="s">
        <v>811</v>
      </c>
      <c r="Q53" s="964">
        <v>0</v>
      </c>
      <c r="R53" s="964">
        <v>0</v>
      </c>
      <c r="S53" s="964"/>
    </row>
    <row r="54" spans="1:19" x14ac:dyDescent="0.2">
      <c r="A54" s="945">
        <v>2092</v>
      </c>
      <c r="B54" s="950" t="s">
        <v>50</v>
      </c>
      <c r="E54" s="964">
        <v>12127.220000000001</v>
      </c>
      <c r="F54" s="964">
        <v>203</v>
      </c>
      <c r="G54" s="964">
        <v>774912</v>
      </c>
      <c r="H54" s="964">
        <v>507.38999999999942</v>
      </c>
      <c r="I54" s="964">
        <v>18737</v>
      </c>
      <c r="J54" s="832"/>
      <c r="K54" s="832"/>
      <c r="L54" s="964">
        <v>15444.88</v>
      </c>
      <c r="M54" s="964">
        <v>0</v>
      </c>
      <c r="N54" s="964">
        <v>203</v>
      </c>
      <c r="O54" s="963">
        <v>3022</v>
      </c>
      <c r="P54" s="654" t="s">
        <v>811</v>
      </c>
      <c r="Q54" s="964">
        <v>0</v>
      </c>
      <c r="R54" s="964">
        <v>0</v>
      </c>
      <c r="S54" s="964"/>
    </row>
    <row r="55" spans="1:19" x14ac:dyDescent="0.2">
      <c r="A55" s="945">
        <v>2102</v>
      </c>
      <c r="B55" s="950" t="s">
        <v>51</v>
      </c>
      <c r="E55" s="964">
        <v>9797.36</v>
      </c>
      <c r="F55" s="964">
        <v>164</v>
      </c>
      <c r="G55" s="964">
        <v>676547</v>
      </c>
      <c r="H55" s="964">
        <v>416.44327957995165</v>
      </c>
      <c r="I55" s="964">
        <v>36326</v>
      </c>
      <c r="J55" s="832"/>
      <c r="K55" s="832"/>
      <c r="L55" s="964">
        <v>18145.43</v>
      </c>
      <c r="M55" s="964">
        <v>0</v>
      </c>
      <c r="N55" s="964">
        <v>162</v>
      </c>
      <c r="O55" s="963">
        <v>2729</v>
      </c>
      <c r="P55" s="654" t="s">
        <v>857</v>
      </c>
      <c r="Q55" s="964">
        <v>0</v>
      </c>
      <c r="R55" s="964">
        <v>0</v>
      </c>
      <c r="S55" s="964"/>
    </row>
    <row r="56" spans="1:19" x14ac:dyDescent="0.2">
      <c r="A56" s="945">
        <v>3704</v>
      </c>
      <c r="B56" s="950" t="s">
        <v>52</v>
      </c>
      <c r="E56" s="964">
        <v>17025.900000000001</v>
      </c>
      <c r="F56" s="964">
        <v>285</v>
      </c>
      <c r="G56" s="964">
        <v>1034103</v>
      </c>
      <c r="H56" s="964">
        <v>712.04999999999927</v>
      </c>
      <c r="I56" s="964">
        <v>24218</v>
      </c>
      <c r="J56" s="832"/>
      <c r="K56" s="832"/>
      <c r="L56" s="964">
        <v>26941.45</v>
      </c>
      <c r="M56" s="964">
        <v>0</v>
      </c>
      <c r="N56" s="964">
        <v>285</v>
      </c>
      <c r="O56" s="963">
        <v>2656</v>
      </c>
      <c r="P56" s="654" t="s">
        <v>811</v>
      </c>
      <c r="Q56" s="964">
        <v>0</v>
      </c>
      <c r="R56" s="964">
        <v>0</v>
      </c>
      <c r="S56" s="964"/>
    </row>
    <row r="57" spans="1:19" x14ac:dyDescent="0.2">
      <c r="A57" s="945">
        <v>2114</v>
      </c>
      <c r="B57" s="950" t="s">
        <v>53</v>
      </c>
      <c r="E57" s="964">
        <v>13560.98</v>
      </c>
      <c r="F57" s="964">
        <v>227</v>
      </c>
      <c r="G57" s="964">
        <v>864549</v>
      </c>
      <c r="H57" s="964">
        <v>567.51000000000022</v>
      </c>
      <c r="I57" s="964">
        <v>21668</v>
      </c>
      <c r="J57" s="832"/>
      <c r="K57" s="832"/>
      <c r="L57" s="964">
        <v>22353.5</v>
      </c>
      <c r="M57" s="964">
        <v>0</v>
      </c>
      <c r="N57" s="964">
        <v>227</v>
      </c>
      <c r="O57" s="963">
        <v>3224</v>
      </c>
      <c r="P57" s="654" t="s">
        <v>811</v>
      </c>
      <c r="Q57" s="964">
        <v>0</v>
      </c>
      <c r="R57" s="964">
        <v>0</v>
      </c>
      <c r="S57" s="964"/>
    </row>
    <row r="58" spans="1:19" x14ac:dyDescent="0.2">
      <c r="A58" s="947">
        <v>2122</v>
      </c>
      <c r="B58" s="950" t="s">
        <v>54</v>
      </c>
      <c r="E58" s="964">
        <v>24373.920000000002</v>
      </c>
      <c r="F58" s="964">
        <v>408</v>
      </c>
      <c r="G58" s="964">
        <v>1399434</v>
      </c>
      <c r="H58" s="964">
        <v>1020.0399999999991</v>
      </c>
      <c r="I58" s="964">
        <v>35816</v>
      </c>
      <c r="J58" s="832"/>
      <c r="K58" s="832"/>
      <c r="L58" s="964">
        <v>9530.16</v>
      </c>
      <c r="M58" s="964">
        <v>0</v>
      </c>
      <c r="N58" s="964">
        <v>408</v>
      </c>
      <c r="O58" s="963">
        <v>5259</v>
      </c>
      <c r="P58" s="654" t="s">
        <v>811</v>
      </c>
      <c r="Q58" s="964">
        <v>0</v>
      </c>
      <c r="R58" s="964">
        <v>0</v>
      </c>
      <c r="S58" s="964"/>
    </row>
    <row r="59" spans="1:19" x14ac:dyDescent="0.2">
      <c r="A59" s="947">
        <v>2160</v>
      </c>
      <c r="B59" s="950" t="s">
        <v>55</v>
      </c>
      <c r="E59" s="964">
        <v>21864.84</v>
      </c>
      <c r="F59" s="964">
        <v>366</v>
      </c>
      <c r="G59" s="964">
        <v>1300310</v>
      </c>
      <c r="H59" s="964">
        <v>914.57999999999993</v>
      </c>
      <c r="I59" s="964">
        <v>37473</v>
      </c>
      <c r="J59" s="832"/>
      <c r="K59" s="832"/>
      <c r="L59" s="964">
        <v>13217.27</v>
      </c>
      <c r="M59" s="964">
        <v>0</v>
      </c>
      <c r="N59" s="964">
        <v>364</v>
      </c>
      <c r="O59" s="963">
        <v>5272</v>
      </c>
      <c r="P59" s="654" t="s">
        <v>811</v>
      </c>
      <c r="Q59" s="964">
        <v>0</v>
      </c>
      <c r="R59" s="964">
        <v>0</v>
      </c>
      <c r="S59" s="964"/>
    </row>
    <row r="60" spans="1:19" x14ac:dyDescent="0.2">
      <c r="A60" s="945">
        <v>2176</v>
      </c>
      <c r="B60" s="950" t="s">
        <v>56</v>
      </c>
      <c r="E60" s="964">
        <v>7049.3200000000006</v>
      </c>
      <c r="F60" s="964">
        <v>118</v>
      </c>
      <c r="G60" s="964">
        <v>527669</v>
      </c>
      <c r="H60" s="964">
        <v>295.33999999999969</v>
      </c>
      <c r="I60" s="964">
        <v>11854</v>
      </c>
      <c r="J60" s="832"/>
      <c r="K60" s="832"/>
      <c r="L60" s="964">
        <v>19623.68</v>
      </c>
      <c r="M60" s="964">
        <v>0</v>
      </c>
      <c r="N60" s="964">
        <v>118</v>
      </c>
      <c r="O60" s="963">
        <v>3215</v>
      </c>
      <c r="P60" s="654" t="s">
        <v>811</v>
      </c>
      <c r="Q60" s="964">
        <v>0</v>
      </c>
      <c r="R60" s="964">
        <v>0</v>
      </c>
      <c r="S60" s="964"/>
    </row>
    <row r="61" spans="1:19" x14ac:dyDescent="0.2">
      <c r="A61" s="945">
        <v>3706</v>
      </c>
      <c r="B61" s="950" t="s">
        <v>830</v>
      </c>
      <c r="E61" s="964">
        <v>25329.760000000002</v>
      </c>
      <c r="F61" s="964">
        <v>424</v>
      </c>
      <c r="G61" s="964">
        <v>1469094</v>
      </c>
      <c r="H61" s="964">
        <v>1060.119999999999</v>
      </c>
      <c r="I61" s="964">
        <v>39130</v>
      </c>
      <c r="J61" s="832"/>
      <c r="K61" s="832"/>
      <c r="L61" s="964">
        <v>30769.54</v>
      </c>
      <c r="M61" s="964">
        <v>0</v>
      </c>
      <c r="N61" s="964">
        <v>424</v>
      </c>
      <c r="O61" s="963">
        <v>2821</v>
      </c>
      <c r="P61" s="654" t="s">
        <v>811</v>
      </c>
      <c r="Q61" s="964">
        <v>0</v>
      </c>
      <c r="R61" s="964">
        <v>0</v>
      </c>
      <c r="S61" s="964"/>
    </row>
    <row r="62" spans="1:19" x14ac:dyDescent="0.2">
      <c r="A62" s="945">
        <v>2184</v>
      </c>
      <c r="B62" s="950" t="s">
        <v>65</v>
      </c>
      <c r="E62" s="964">
        <v>8005.16</v>
      </c>
      <c r="F62" s="964">
        <v>134</v>
      </c>
      <c r="G62" s="964">
        <v>579646</v>
      </c>
      <c r="H62" s="964">
        <v>335.42000000000007</v>
      </c>
      <c r="I62" s="964">
        <v>10707</v>
      </c>
      <c r="J62" s="832"/>
      <c r="K62" s="832"/>
      <c r="L62" s="964">
        <v>14587.4</v>
      </c>
      <c r="M62" s="964">
        <v>0</v>
      </c>
      <c r="N62" s="964">
        <v>133</v>
      </c>
      <c r="O62" s="963">
        <v>3021</v>
      </c>
      <c r="P62" s="654" t="s">
        <v>811</v>
      </c>
      <c r="Q62" s="964">
        <v>0</v>
      </c>
      <c r="R62" s="964">
        <v>0</v>
      </c>
      <c r="S62" s="964"/>
    </row>
    <row r="63" spans="1:19" x14ac:dyDescent="0.2">
      <c r="A63" s="947">
        <v>2192</v>
      </c>
      <c r="B63" s="950" t="s">
        <v>66</v>
      </c>
      <c r="E63" s="964">
        <v>12664.880000000001</v>
      </c>
      <c r="F63" s="964">
        <v>212</v>
      </c>
      <c r="G63" s="964">
        <v>807571</v>
      </c>
      <c r="H63" s="964">
        <v>529.55999999999949</v>
      </c>
      <c r="I63" s="964">
        <v>17080</v>
      </c>
      <c r="J63" s="832"/>
      <c r="K63" s="832"/>
      <c r="L63" s="964">
        <v>3918.08</v>
      </c>
      <c r="M63" s="964">
        <v>0</v>
      </c>
      <c r="N63" s="964">
        <v>212</v>
      </c>
      <c r="O63" s="963">
        <v>5220</v>
      </c>
      <c r="P63" s="654" t="s">
        <v>811</v>
      </c>
      <c r="Q63" s="964">
        <v>0</v>
      </c>
      <c r="R63" s="964">
        <v>0</v>
      </c>
      <c r="S63" s="964"/>
    </row>
    <row r="64" spans="1:19" x14ac:dyDescent="0.2">
      <c r="A64" s="947">
        <v>4140</v>
      </c>
      <c r="B64" s="950" t="s">
        <v>67</v>
      </c>
      <c r="E64" s="964">
        <v>26405.08</v>
      </c>
      <c r="F64" s="964">
        <v>442</v>
      </c>
      <c r="G64" s="964">
        <v>1476053</v>
      </c>
      <c r="H64" s="964">
        <v>1105.4599999999991</v>
      </c>
      <c r="I64" s="964">
        <v>38111</v>
      </c>
      <c r="J64" s="832"/>
      <c r="K64" s="832"/>
      <c r="L64" s="964">
        <v>6732.83</v>
      </c>
      <c r="M64" s="964">
        <v>0</v>
      </c>
      <c r="N64" s="964">
        <v>441</v>
      </c>
      <c r="O64" s="963">
        <v>5200</v>
      </c>
      <c r="P64" s="654" t="s">
        <v>811</v>
      </c>
      <c r="Q64" s="964">
        <v>0</v>
      </c>
      <c r="R64" s="964">
        <v>0</v>
      </c>
      <c r="S64" s="964"/>
    </row>
    <row r="65" spans="1:19" x14ac:dyDescent="0.2">
      <c r="A65" s="945">
        <v>2200</v>
      </c>
      <c r="B65" s="950" t="s">
        <v>68</v>
      </c>
      <c r="E65" s="964">
        <v>14073.748333333335</v>
      </c>
      <c r="F65" s="964">
        <v>235.58333333333334</v>
      </c>
      <c r="G65" s="964">
        <v>858013</v>
      </c>
      <c r="H65" s="964">
        <v>588.62583333333168</v>
      </c>
      <c r="I65" s="964">
        <v>19374</v>
      </c>
      <c r="J65" s="832"/>
      <c r="K65" s="832"/>
      <c r="L65" s="964">
        <v>2887.27</v>
      </c>
      <c r="M65" s="964">
        <v>0</v>
      </c>
      <c r="N65" s="964">
        <v>235.58333333333334</v>
      </c>
      <c r="O65" s="963">
        <v>3244</v>
      </c>
      <c r="P65" s="654" t="s">
        <v>811</v>
      </c>
      <c r="Q65" s="964">
        <v>0</v>
      </c>
      <c r="R65" s="964">
        <v>0</v>
      </c>
      <c r="S65" s="964"/>
    </row>
    <row r="66" spans="1:19" x14ac:dyDescent="0.2">
      <c r="A66" s="947">
        <v>3254</v>
      </c>
      <c r="B66" s="950" t="s">
        <v>69</v>
      </c>
      <c r="E66" s="964">
        <v>16786.940000000002</v>
      </c>
      <c r="F66" s="964">
        <v>281</v>
      </c>
      <c r="G66" s="964">
        <v>1301974</v>
      </c>
      <c r="H66" s="964">
        <v>702.52999999999793</v>
      </c>
      <c r="I66" s="964">
        <v>20776</v>
      </c>
      <c r="J66" s="832"/>
      <c r="K66" s="832"/>
      <c r="L66" s="964">
        <v>6218.3</v>
      </c>
      <c r="M66" s="964">
        <v>237430</v>
      </c>
      <c r="N66" s="964">
        <v>281</v>
      </c>
      <c r="O66" s="963">
        <v>5274</v>
      </c>
      <c r="P66" s="654" t="s">
        <v>811</v>
      </c>
      <c r="Q66" s="964">
        <v>0</v>
      </c>
      <c r="R66" s="964">
        <v>0</v>
      </c>
      <c r="S66" s="964"/>
    </row>
    <row r="67" spans="1:19" x14ac:dyDescent="0.2">
      <c r="A67" s="945">
        <v>2211</v>
      </c>
      <c r="B67" s="950" t="s">
        <v>70</v>
      </c>
      <c r="E67" s="964">
        <v>24254.440000000002</v>
      </c>
      <c r="F67" s="964">
        <v>406</v>
      </c>
      <c r="G67" s="964">
        <v>1490526</v>
      </c>
      <c r="H67" s="964">
        <v>1030.5973872528066</v>
      </c>
      <c r="I67" s="964">
        <v>38620</v>
      </c>
      <c r="J67" s="832"/>
      <c r="K67" s="832"/>
      <c r="L67" s="964">
        <v>64649.56</v>
      </c>
      <c r="M67" s="964">
        <v>0</v>
      </c>
      <c r="N67" s="964">
        <v>405</v>
      </c>
      <c r="O67" s="963">
        <v>3837</v>
      </c>
      <c r="P67" s="654" t="s">
        <v>857</v>
      </c>
      <c r="Q67" s="964">
        <v>0</v>
      </c>
      <c r="R67" s="964">
        <v>0</v>
      </c>
      <c r="S67" s="964"/>
    </row>
    <row r="68" spans="1:19" x14ac:dyDescent="0.2">
      <c r="A68" s="945">
        <v>3590</v>
      </c>
      <c r="B68" s="950" t="s">
        <v>71</v>
      </c>
      <c r="E68" s="964">
        <v>24971.32</v>
      </c>
      <c r="F68" s="964">
        <v>418</v>
      </c>
      <c r="G68" s="964">
        <v>1637038</v>
      </c>
      <c r="H68" s="964">
        <v>1061.6298223440244</v>
      </c>
      <c r="I68" s="964">
        <v>30336</v>
      </c>
      <c r="J68" s="832"/>
      <c r="K68" s="832"/>
      <c r="L68" s="964">
        <v>25934.38</v>
      </c>
      <c r="M68" s="964">
        <v>0</v>
      </c>
      <c r="N68" s="964">
        <v>418</v>
      </c>
      <c r="O68" s="963">
        <v>2798</v>
      </c>
      <c r="P68" s="654" t="s">
        <v>857</v>
      </c>
      <c r="Q68" s="964">
        <v>0</v>
      </c>
      <c r="R68" s="964">
        <v>0</v>
      </c>
      <c r="S68" s="964"/>
    </row>
    <row r="69" spans="1:19" x14ac:dyDescent="0.2">
      <c r="A69" s="945">
        <v>2250</v>
      </c>
      <c r="B69" s="950" t="s">
        <v>72</v>
      </c>
      <c r="E69" s="964">
        <v>2688.3</v>
      </c>
      <c r="F69" s="964">
        <v>45</v>
      </c>
      <c r="G69" s="964">
        <v>287025</v>
      </c>
      <c r="H69" s="964">
        <v>112.84999999999991</v>
      </c>
      <c r="I69" s="964">
        <v>3952</v>
      </c>
      <c r="J69" s="832"/>
      <c r="K69" s="832"/>
      <c r="L69" s="964">
        <v>-428.52</v>
      </c>
      <c r="M69" s="964">
        <v>0</v>
      </c>
      <c r="N69" s="964">
        <v>45</v>
      </c>
      <c r="O69" s="963">
        <v>3700</v>
      </c>
      <c r="P69" s="654" t="s">
        <v>811</v>
      </c>
      <c r="Q69" s="964">
        <v>0</v>
      </c>
      <c r="R69" s="964">
        <v>0</v>
      </c>
      <c r="S69" s="964"/>
    </row>
    <row r="70" spans="1:19" x14ac:dyDescent="0.2">
      <c r="A70" s="945">
        <v>2266</v>
      </c>
      <c r="B70" s="950" t="s">
        <v>73</v>
      </c>
      <c r="E70" s="964">
        <v>16129.800000000001</v>
      </c>
      <c r="F70" s="964">
        <v>270</v>
      </c>
      <c r="G70" s="964">
        <v>987769</v>
      </c>
      <c r="H70" s="964">
        <v>675.09999999999945</v>
      </c>
      <c r="I70" s="964">
        <v>21796</v>
      </c>
      <c r="J70" s="832"/>
      <c r="K70" s="832"/>
      <c r="L70" s="964">
        <v>20377.5</v>
      </c>
      <c r="M70" s="964">
        <v>0</v>
      </c>
      <c r="N70" s="964">
        <v>270</v>
      </c>
      <c r="O70" s="963">
        <v>2510</v>
      </c>
      <c r="P70" s="654" t="s">
        <v>811</v>
      </c>
      <c r="Q70" s="964">
        <v>0</v>
      </c>
      <c r="R70" s="964">
        <v>0</v>
      </c>
      <c r="S70" s="964"/>
    </row>
    <row r="71" spans="1:19" x14ac:dyDescent="0.2">
      <c r="A71" s="945">
        <v>2274</v>
      </c>
      <c r="B71" s="950" t="s">
        <v>74</v>
      </c>
      <c r="E71" s="964">
        <v>2509.08</v>
      </c>
      <c r="F71" s="964">
        <v>42</v>
      </c>
      <c r="G71" s="964">
        <v>287747</v>
      </c>
      <c r="H71" s="964">
        <v>105.46000000000015</v>
      </c>
      <c r="I71" s="964">
        <v>4334</v>
      </c>
      <c r="J71" s="832"/>
      <c r="K71" s="832"/>
      <c r="L71" s="964">
        <v>10867.54</v>
      </c>
      <c r="M71" s="964">
        <v>0</v>
      </c>
      <c r="N71" s="964">
        <v>42</v>
      </c>
      <c r="O71" s="963">
        <v>3208</v>
      </c>
      <c r="P71" s="654" t="s">
        <v>811</v>
      </c>
      <c r="Q71" s="964">
        <v>0</v>
      </c>
      <c r="R71" s="964">
        <v>0</v>
      </c>
      <c r="S71" s="964"/>
    </row>
    <row r="72" spans="1:19" x14ac:dyDescent="0.2">
      <c r="A72" s="945">
        <v>2282</v>
      </c>
      <c r="B72" s="950" t="s">
        <v>75</v>
      </c>
      <c r="E72" s="964">
        <v>5555.8200000000006</v>
      </c>
      <c r="F72" s="964">
        <v>93</v>
      </c>
      <c r="G72" s="964">
        <v>446083</v>
      </c>
      <c r="H72" s="964">
        <v>232.08999999999969</v>
      </c>
      <c r="I72" s="964">
        <v>8923</v>
      </c>
      <c r="J72" s="832"/>
      <c r="K72" s="832"/>
      <c r="L72" s="964">
        <v>1007.85</v>
      </c>
      <c r="M72" s="964">
        <v>0</v>
      </c>
      <c r="N72" s="964">
        <v>93</v>
      </c>
      <c r="O72" s="963">
        <v>3310</v>
      </c>
      <c r="P72" s="654" t="s">
        <v>811</v>
      </c>
      <c r="Q72" s="964">
        <v>0</v>
      </c>
      <c r="R72" s="964">
        <v>0</v>
      </c>
      <c r="S72" s="964"/>
    </row>
    <row r="73" spans="1:19" x14ac:dyDescent="0.2">
      <c r="A73" s="945">
        <v>2290</v>
      </c>
      <c r="B73" s="950" t="s">
        <v>76</v>
      </c>
      <c r="E73" s="964">
        <v>4540.24</v>
      </c>
      <c r="F73" s="964">
        <v>76</v>
      </c>
      <c r="G73" s="964">
        <v>415691</v>
      </c>
      <c r="H73" s="964">
        <v>189.88000000000034</v>
      </c>
      <c r="I73" s="964">
        <v>8413</v>
      </c>
      <c r="J73" s="832"/>
      <c r="K73" s="832"/>
      <c r="L73" s="964">
        <v>5808</v>
      </c>
      <c r="M73" s="964">
        <v>0</v>
      </c>
      <c r="N73" s="964">
        <v>76</v>
      </c>
      <c r="O73" s="963">
        <v>3218</v>
      </c>
      <c r="P73" s="654" t="s">
        <v>811</v>
      </c>
      <c r="Q73" s="964">
        <v>0</v>
      </c>
      <c r="R73" s="964">
        <v>0</v>
      </c>
      <c r="S73" s="964"/>
    </row>
    <row r="74" spans="1:19" x14ac:dyDescent="0.2">
      <c r="A74" s="945">
        <v>1820</v>
      </c>
      <c r="B74" s="950" t="s">
        <v>77</v>
      </c>
      <c r="E74" s="964">
        <v>25031.06</v>
      </c>
      <c r="F74" s="964">
        <v>419</v>
      </c>
      <c r="G74" s="964">
        <v>1520633</v>
      </c>
      <c r="H74" s="964">
        <v>1047.4699999999993</v>
      </c>
      <c r="I74" s="964">
        <v>33395</v>
      </c>
      <c r="J74" s="832"/>
      <c r="K74" s="832"/>
      <c r="L74" s="964">
        <v>40823.480000000003</v>
      </c>
      <c r="M74" s="964">
        <v>0</v>
      </c>
      <c r="N74" s="964">
        <v>418</v>
      </c>
      <c r="O74" s="963">
        <v>2075</v>
      </c>
      <c r="P74" s="654" t="s">
        <v>811</v>
      </c>
      <c r="Q74" s="964">
        <v>0</v>
      </c>
      <c r="R74" s="964">
        <v>0</v>
      </c>
      <c r="S74" s="964"/>
    </row>
    <row r="75" spans="1:19" x14ac:dyDescent="0.2">
      <c r="A75" s="945">
        <v>2322</v>
      </c>
      <c r="B75" s="950" t="s">
        <v>78</v>
      </c>
      <c r="E75" s="964">
        <v>12664.880000000001</v>
      </c>
      <c r="F75" s="964">
        <v>212</v>
      </c>
      <c r="G75" s="964">
        <v>1080729</v>
      </c>
      <c r="H75" s="964">
        <v>529.55999999999949</v>
      </c>
      <c r="I75" s="964">
        <v>17335</v>
      </c>
      <c r="J75" s="832"/>
      <c r="K75" s="832"/>
      <c r="L75" s="964">
        <v>31115.3</v>
      </c>
      <c r="M75" s="964">
        <v>237430</v>
      </c>
      <c r="N75" s="964">
        <v>212</v>
      </c>
      <c r="O75" s="963">
        <v>2028</v>
      </c>
      <c r="P75" s="654" t="s">
        <v>811</v>
      </c>
      <c r="Q75" s="964">
        <v>0</v>
      </c>
      <c r="R75" s="964">
        <v>0</v>
      </c>
      <c r="S75" s="964"/>
    </row>
    <row r="76" spans="1:19" x14ac:dyDescent="0.2">
      <c r="A76" s="945">
        <v>2334</v>
      </c>
      <c r="B76" s="950" t="s">
        <v>79</v>
      </c>
      <c r="E76" s="964">
        <v>5794.78</v>
      </c>
      <c r="F76" s="964">
        <v>97</v>
      </c>
      <c r="G76" s="964">
        <v>477804</v>
      </c>
      <c r="H76" s="964">
        <v>246.01218365399609</v>
      </c>
      <c r="I76" s="964">
        <v>11217</v>
      </c>
      <c r="J76" s="832"/>
      <c r="K76" s="832"/>
      <c r="L76" s="964">
        <v>13322.57</v>
      </c>
      <c r="M76" s="964">
        <v>0</v>
      </c>
      <c r="N76" s="964">
        <v>97</v>
      </c>
      <c r="O76" s="963">
        <v>3238</v>
      </c>
      <c r="P76" s="654" t="s">
        <v>857</v>
      </c>
      <c r="Q76" s="964">
        <v>0</v>
      </c>
      <c r="R76" s="964">
        <v>0</v>
      </c>
      <c r="S76" s="964"/>
    </row>
    <row r="77" spans="1:19" x14ac:dyDescent="0.2">
      <c r="A77" s="945">
        <v>2370</v>
      </c>
      <c r="B77" s="950" t="s">
        <v>80</v>
      </c>
      <c r="E77" s="964">
        <v>10514.24</v>
      </c>
      <c r="F77" s="964">
        <v>176</v>
      </c>
      <c r="G77" s="964">
        <v>715669</v>
      </c>
      <c r="H77" s="964">
        <v>439.88000000000011</v>
      </c>
      <c r="I77" s="964">
        <v>29188</v>
      </c>
      <c r="J77" s="832"/>
      <c r="K77" s="832"/>
      <c r="L77" s="964">
        <v>17553.73</v>
      </c>
      <c r="M77" s="964">
        <v>0</v>
      </c>
      <c r="N77" s="964">
        <v>173</v>
      </c>
      <c r="O77" s="963">
        <v>2549</v>
      </c>
      <c r="P77" s="654" t="s">
        <v>811</v>
      </c>
      <c r="Q77" s="964">
        <v>0</v>
      </c>
      <c r="R77" s="964">
        <v>0</v>
      </c>
      <c r="S77" s="964"/>
    </row>
    <row r="78" spans="1:19" x14ac:dyDescent="0.2">
      <c r="A78" s="945">
        <v>1114</v>
      </c>
      <c r="B78" s="950" t="s">
        <v>934</v>
      </c>
      <c r="E78" s="964">
        <v>29486.668333333335</v>
      </c>
      <c r="F78" s="964">
        <v>493.58333333333331</v>
      </c>
      <c r="G78" s="964">
        <v>2034386</v>
      </c>
      <c r="H78" s="964">
        <v>1252.9382850366128</v>
      </c>
      <c r="I78" s="964">
        <v>42954</v>
      </c>
      <c r="J78" s="832"/>
      <c r="K78" s="832"/>
      <c r="L78" s="964">
        <v>29435.67</v>
      </c>
      <c r="M78" s="964">
        <v>0</v>
      </c>
      <c r="N78" s="964">
        <v>483.58333333333331</v>
      </c>
      <c r="O78" s="963">
        <v>2611</v>
      </c>
      <c r="P78" s="654" t="s">
        <v>857</v>
      </c>
      <c r="Q78" s="964">
        <v>105000</v>
      </c>
      <c r="R78" s="964">
        <v>0</v>
      </c>
      <c r="S78" s="964"/>
    </row>
    <row r="79" spans="1:19" x14ac:dyDescent="0.2">
      <c r="A79" s="945">
        <v>1822</v>
      </c>
      <c r="B79" s="950" t="s">
        <v>81</v>
      </c>
      <c r="E79" s="964">
        <v>17862.260000000002</v>
      </c>
      <c r="F79" s="964">
        <v>299</v>
      </c>
      <c r="G79" s="964">
        <v>1150101</v>
      </c>
      <c r="H79" s="964">
        <v>747.86999999999807</v>
      </c>
      <c r="I79" s="964">
        <v>25492</v>
      </c>
      <c r="J79" s="832"/>
      <c r="K79" s="832"/>
      <c r="L79" s="964">
        <v>25923.25</v>
      </c>
      <c r="M79" s="964">
        <v>0</v>
      </c>
      <c r="N79" s="964">
        <v>299</v>
      </c>
      <c r="O79" s="963">
        <v>2054</v>
      </c>
      <c r="P79" s="654" t="s">
        <v>811</v>
      </c>
      <c r="Q79" s="964">
        <v>0</v>
      </c>
      <c r="R79" s="964">
        <v>0</v>
      </c>
      <c r="S79" s="964"/>
    </row>
    <row r="80" spans="1:19" x14ac:dyDescent="0.2">
      <c r="A80" s="945">
        <v>4768</v>
      </c>
      <c r="B80" s="950" t="s">
        <v>82</v>
      </c>
      <c r="E80" s="964">
        <v>18758.36</v>
      </c>
      <c r="F80" s="964">
        <v>314</v>
      </c>
      <c r="G80" s="964">
        <v>1175250</v>
      </c>
      <c r="H80" s="964">
        <v>797.34871822015157</v>
      </c>
      <c r="I80" s="964">
        <v>27149</v>
      </c>
      <c r="J80" s="832"/>
      <c r="K80" s="832"/>
      <c r="L80" s="964">
        <v>45554.879999999997</v>
      </c>
      <c r="M80" s="964">
        <v>0</v>
      </c>
      <c r="N80" s="964">
        <v>314</v>
      </c>
      <c r="O80" s="963">
        <v>2005</v>
      </c>
      <c r="P80" s="654" t="s">
        <v>857</v>
      </c>
      <c r="Q80" s="964">
        <v>0</v>
      </c>
      <c r="R80" s="964">
        <v>0</v>
      </c>
      <c r="S80" s="964"/>
    </row>
    <row r="81" spans="1:19" x14ac:dyDescent="0.2">
      <c r="A81" s="945">
        <v>2480</v>
      </c>
      <c r="B81" s="950" t="s">
        <v>83</v>
      </c>
      <c r="E81" s="964">
        <v>8483.08</v>
      </c>
      <c r="F81" s="964">
        <v>142</v>
      </c>
      <c r="G81" s="964">
        <v>585394</v>
      </c>
      <c r="H81" s="964">
        <v>355.46000000000004</v>
      </c>
      <c r="I81" s="964">
        <v>14148</v>
      </c>
      <c r="J81" s="832"/>
      <c r="K81" s="832"/>
      <c r="L81" s="964">
        <v>12701.83</v>
      </c>
      <c r="M81" s="964">
        <v>0</v>
      </c>
      <c r="N81" s="964">
        <v>141</v>
      </c>
      <c r="O81" s="963">
        <v>2380</v>
      </c>
      <c r="P81" s="654" t="s">
        <v>811</v>
      </c>
      <c r="Q81" s="964">
        <v>0</v>
      </c>
      <c r="R81" s="964">
        <v>0</v>
      </c>
      <c r="S81" s="964"/>
    </row>
    <row r="82" spans="1:19" x14ac:dyDescent="0.2">
      <c r="A82" s="945">
        <v>2488</v>
      </c>
      <c r="B82" s="950" t="s">
        <v>84</v>
      </c>
      <c r="E82" s="964">
        <v>12485.66</v>
      </c>
      <c r="F82" s="964">
        <v>209</v>
      </c>
      <c r="G82" s="964">
        <v>1043377</v>
      </c>
      <c r="H82" s="964">
        <v>522.17000000000007</v>
      </c>
      <c r="I82" s="964">
        <v>19502</v>
      </c>
      <c r="J82" s="832"/>
      <c r="K82" s="832"/>
      <c r="L82" s="964">
        <v>24878</v>
      </c>
      <c r="M82" s="964">
        <v>237430</v>
      </c>
      <c r="N82" s="964">
        <v>209</v>
      </c>
      <c r="O82" s="963">
        <v>2045</v>
      </c>
      <c r="P82" s="654" t="s">
        <v>811</v>
      </c>
      <c r="Q82" s="964">
        <v>0</v>
      </c>
      <c r="R82" s="964">
        <v>0</v>
      </c>
      <c r="S82" s="964"/>
    </row>
    <row r="83" spans="1:19" x14ac:dyDescent="0.2">
      <c r="A83" s="945">
        <v>1368</v>
      </c>
      <c r="B83" s="950" t="s">
        <v>85</v>
      </c>
      <c r="E83" s="964">
        <v>15173.960000000001</v>
      </c>
      <c r="F83" s="964">
        <v>254</v>
      </c>
      <c r="G83" s="964">
        <v>995970</v>
      </c>
      <c r="H83" s="964">
        <v>635.01999999999953</v>
      </c>
      <c r="I83" s="964">
        <v>42317</v>
      </c>
      <c r="J83" s="832"/>
      <c r="K83" s="832"/>
      <c r="L83" s="964">
        <v>30401.69</v>
      </c>
      <c r="M83" s="964">
        <v>0</v>
      </c>
      <c r="N83" s="964">
        <v>254</v>
      </c>
      <c r="O83" s="963">
        <v>2769</v>
      </c>
      <c r="P83" s="654" t="s">
        <v>811</v>
      </c>
      <c r="Q83" s="964">
        <v>0</v>
      </c>
      <c r="R83" s="964">
        <v>0</v>
      </c>
      <c r="S83" s="964"/>
    </row>
    <row r="84" spans="1:19" x14ac:dyDescent="0.2">
      <c r="A84" s="945">
        <v>1366</v>
      </c>
      <c r="B84" s="950" t="s">
        <v>86</v>
      </c>
      <c r="E84" s="964">
        <v>21147.96</v>
      </c>
      <c r="F84" s="964">
        <v>354</v>
      </c>
      <c r="G84" s="964">
        <v>1294236</v>
      </c>
      <c r="H84" s="964">
        <v>885.02000000000044</v>
      </c>
      <c r="I84" s="964">
        <v>0</v>
      </c>
      <c r="J84" s="832"/>
      <c r="K84" s="832"/>
      <c r="L84" s="964">
        <v>30624</v>
      </c>
      <c r="M84" s="964">
        <v>0</v>
      </c>
      <c r="N84" s="964">
        <v>354</v>
      </c>
      <c r="O84" s="963">
        <v>2759</v>
      </c>
      <c r="P84" s="654" t="s">
        <v>811</v>
      </c>
      <c r="Q84" s="964">
        <v>0</v>
      </c>
      <c r="R84" s="964">
        <v>0</v>
      </c>
      <c r="S84" s="964"/>
    </row>
    <row r="85" spans="1:19" x14ac:dyDescent="0.2">
      <c r="A85" s="947">
        <v>2124</v>
      </c>
      <c r="B85" s="950" t="s">
        <v>87</v>
      </c>
      <c r="E85" s="964">
        <v>25449.24</v>
      </c>
      <c r="F85" s="964">
        <v>426</v>
      </c>
      <c r="G85" s="964">
        <v>1431588</v>
      </c>
      <c r="H85" s="964">
        <v>1065.3799999999992</v>
      </c>
      <c r="I85" s="964">
        <v>41170</v>
      </c>
      <c r="J85" s="832"/>
      <c r="K85" s="832"/>
      <c r="L85" s="964">
        <v>11255.4</v>
      </c>
      <c r="M85" s="964">
        <v>0</v>
      </c>
      <c r="N85" s="964">
        <v>426</v>
      </c>
      <c r="O85" s="963">
        <v>5258</v>
      </c>
      <c r="P85" s="654" t="s">
        <v>811</v>
      </c>
      <c r="Q85" s="964">
        <v>0</v>
      </c>
      <c r="R85" s="964">
        <v>0</v>
      </c>
      <c r="S85" s="964"/>
    </row>
    <row r="86" spans="1:19" x14ac:dyDescent="0.2">
      <c r="A86" s="945">
        <v>2512</v>
      </c>
      <c r="B86" s="950" t="s">
        <v>88</v>
      </c>
      <c r="E86" s="964">
        <v>9020.74</v>
      </c>
      <c r="F86" s="964">
        <v>151</v>
      </c>
      <c r="G86" s="964">
        <v>602681</v>
      </c>
      <c r="H86" s="964">
        <v>377.63000000000056</v>
      </c>
      <c r="I86" s="964">
        <v>13766</v>
      </c>
      <c r="J86" s="832"/>
      <c r="K86" s="832"/>
      <c r="L86" s="964">
        <v>2545.2199999999998</v>
      </c>
      <c r="M86" s="964">
        <v>0</v>
      </c>
      <c r="N86" s="964">
        <v>151</v>
      </c>
      <c r="O86" s="963">
        <v>3570</v>
      </c>
      <c r="P86" s="654" t="s">
        <v>811</v>
      </c>
      <c r="Q86" s="964">
        <v>0</v>
      </c>
      <c r="R86" s="964">
        <v>0</v>
      </c>
      <c r="S86" s="964"/>
    </row>
    <row r="87" spans="1:19" x14ac:dyDescent="0.2">
      <c r="A87" s="945">
        <v>2536</v>
      </c>
      <c r="B87" s="950" t="s">
        <v>89</v>
      </c>
      <c r="E87" s="964">
        <v>13620.720000000001</v>
      </c>
      <c r="F87" s="964">
        <v>228</v>
      </c>
      <c r="G87" s="964">
        <v>857058</v>
      </c>
      <c r="H87" s="964">
        <v>569.63999999999942</v>
      </c>
      <c r="I87" s="964">
        <v>19629</v>
      </c>
      <c r="J87" s="832"/>
      <c r="K87" s="832"/>
      <c r="L87" s="964">
        <v>24989.01</v>
      </c>
      <c r="M87" s="964">
        <v>0</v>
      </c>
      <c r="N87" s="964">
        <v>228</v>
      </c>
      <c r="O87" s="963">
        <v>2450</v>
      </c>
      <c r="P87" s="654" t="s">
        <v>811</v>
      </c>
      <c r="Q87" s="964">
        <v>0</v>
      </c>
      <c r="R87" s="964">
        <v>0</v>
      </c>
      <c r="S87" s="964"/>
    </row>
    <row r="88" spans="1:19" x14ac:dyDescent="0.2">
      <c r="A88" s="945">
        <v>2560</v>
      </c>
      <c r="B88" s="950" t="s">
        <v>90</v>
      </c>
      <c r="E88" s="964">
        <v>5197.38</v>
      </c>
      <c r="F88" s="964">
        <v>87</v>
      </c>
      <c r="G88" s="964">
        <v>421392</v>
      </c>
      <c r="H88" s="964">
        <v>217.30999999999995</v>
      </c>
      <c r="I88" s="964">
        <v>10452</v>
      </c>
      <c r="J88" s="832"/>
      <c r="K88" s="832"/>
      <c r="L88" s="964">
        <v>14449.5</v>
      </c>
      <c r="M88" s="964">
        <v>0</v>
      </c>
      <c r="N88" s="964">
        <v>87</v>
      </c>
      <c r="O88" s="963">
        <v>2730</v>
      </c>
      <c r="P88" s="654" t="s">
        <v>811</v>
      </c>
      <c r="Q88" s="964">
        <v>0</v>
      </c>
      <c r="R88" s="964">
        <v>0</v>
      </c>
      <c r="S88" s="964"/>
    </row>
    <row r="89" spans="1:19" x14ac:dyDescent="0.2">
      <c r="A89" s="945">
        <v>2568</v>
      </c>
      <c r="B89" s="950" t="s">
        <v>91</v>
      </c>
      <c r="E89" s="964">
        <v>3584.4</v>
      </c>
      <c r="F89" s="964">
        <v>60</v>
      </c>
      <c r="G89" s="964">
        <v>344590</v>
      </c>
      <c r="H89" s="964">
        <v>149.79999999999995</v>
      </c>
      <c r="I89" s="964">
        <v>5226</v>
      </c>
      <c r="J89" s="832"/>
      <c r="K89" s="832"/>
      <c r="L89" s="964">
        <v>5627.95</v>
      </c>
      <c r="M89" s="964">
        <v>0</v>
      </c>
      <c r="N89" s="964">
        <v>60</v>
      </c>
      <c r="O89" s="963">
        <v>3025</v>
      </c>
      <c r="P89" s="654" t="s">
        <v>811</v>
      </c>
      <c r="Q89" s="964">
        <v>0</v>
      </c>
      <c r="R89" s="964">
        <v>0</v>
      </c>
      <c r="S89" s="964"/>
    </row>
    <row r="90" spans="1:19" x14ac:dyDescent="0.2">
      <c r="A90" s="947">
        <v>2576</v>
      </c>
      <c r="B90" s="950" t="s">
        <v>92</v>
      </c>
      <c r="E90" s="964">
        <v>25927.16</v>
      </c>
      <c r="F90" s="964">
        <v>434</v>
      </c>
      <c r="G90" s="964">
        <v>1474571</v>
      </c>
      <c r="H90" s="964">
        <v>1085.42</v>
      </c>
      <c r="I90" s="964">
        <v>37983</v>
      </c>
      <c r="J90" s="832"/>
      <c r="K90" s="832"/>
      <c r="L90" s="964">
        <v>5498.31</v>
      </c>
      <c r="M90" s="964">
        <v>0</v>
      </c>
      <c r="N90" s="964">
        <v>434</v>
      </c>
      <c r="O90" s="963">
        <v>5204</v>
      </c>
      <c r="P90" s="654" t="s">
        <v>811</v>
      </c>
      <c r="Q90" s="964">
        <v>0</v>
      </c>
      <c r="R90" s="964">
        <v>0</v>
      </c>
      <c r="S90" s="964"/>
    </row>
    <row r="91" spans="1:19" x14ac:dyDescent="0.2">
      <c r="A91" s="945">
        <v>2592</v>
      </c>
      <c r="B91" s="950" t="s">
        <v>93</v>
      </c>
      <c r="E91" s="964">
        <v>9677.880000000001</v>
      </c>
      <c r="F91" s="964">
        <v>162</v>
      </c>
      <c r="G91" s="964">
        <v>659986</v>
      </c>
      <c r="H91" s="964">
        <v>405.05999999999904</v>
      </c>
      <c r="I91" s="964">
        <v>16188</v>
      </c>
      <c r="J91" s="832"/>
      <c r="K91" s="832"/>
      <c r="L91" s="964">
        <v>16797.560000000001</v>
      </c>
      <c r="M91" s="964">
        <v>0</v>
      </c>
      <c r="N91" s="964">
        <v>162</v>
      </c>
      <c r="O91" s="963">
        <v>3217</v>
      </c>
      <c r="P91" s="654" t="s">
        <v>811</v>
      </c>
      <c r="Q91" s="964">
        <v>0</v>
      </c>
      <c r="R91" s="964">
        <v>0</v>
      </c>
      <c r="S91" s="964"/>
    </row>
    <row r="92" spans="1:19" x14ac:dyDescent="0.2">
      <c r="A92" s="945">
        <v>1824</v>
      </c>
      <c r="B92" s="950" t="s">
        <v>94</v>
      </c>
      <c r="E92" s="964">
        <v>25270.02</v>
      </c>
      <c r="F92" s="964">
        <v>423</v>
      </c>
      <c r="G92" s="964">
        <v>1443128</v>
      </c>
      <c r="H92" s="964">
        <v>1057.9899999999998</v>
      </c>
      <c r="I92" s="964">
        <v>40405</v>
      </c>
      <c r="J92" s="832"/>
      <c r="K92" s="832"/>
      <c r="L92" s="964">
        <v>23198.09</v>
      </c>
      <c r="M92" s="964">
        <v>0</v>
      </c>
      <c r="N92" s="964">
        <v>422</v>
      </c>
      <c r="O92" s="963">
        <v>2003</v>
      </c>
      <c r="P92" s="654" t="s">
        <v>811</v>
      </c>
      <c r="Q92" s="964">
        <v>0</v>
      </c>
      <c r="R92" s="964">
        <v>0</v>
      </c>
      <c r="S92" s="964"/>
    </row>
    <row r="93" spans="1:19" x14ac:dyDescent="0.2">
      <c r="A93" s="945">
        <v>2715</v>
      </c>
      <c r="B93" s="950" t="s">
        <v>95</v>
      </c>
      <c r="E93" s="964">
        <v>25031.06</v>
      </c>
      <c r="F93" s="964">
        <v>419</v>
      </c>
      <c r="G93" s="964">
        <v>1685683</v>
      </c>
      <c r="H93" s="964">
        <v>1063.3825252682909</v>
      </c>
      <c r="I93" s="964">
        <v>31610</v>
      </c>
      <c r="J93" s="832"/>
      <c r="K93" s="832"/>
      <c r="L93" s="964">
        <v>42178</v>
      </c>
      <c r="M93" s="964">
        <v>0</v>
      </c>
      <c r="N93" s="964">
        <v>419</v>
      </c>
      <c r="O93" s="963">
        <v>3254</v>
      </c>
      <c r="P93" s="654" t="s">
        <v>857</v>
      </c>
      <c r="Q93" s="964">
        <v>0</v>
      </c>
      <c r="R93" s="964">
        <v>0</v>
      </c>
      <c r="S93" s="964"/>
    </row>
    <row r="94" spans="1:19" x14ac:dyDescent="0.2">
      <c r="A94" s="945">
        <v>2848</v>
      </c>
      <c r="B94" s="950" t="s">
        <v>96</v>
      </c>
      <c r="E94" s="964">
        <v>12306.44</v>
      </c>
      <c r="F94" s="964">
        <v>206</v>
      </c>
      <c r="G94" s="964">
        <v>1153647</v>
      </c>
      <c r="H94" s="964">
        <v>514.77999999999975</v>
      </c>
      <c r="I94" s="964">
        <v>13256</v>
      </c>
      <c r="J94" s="832"/>
      <c r="K94" s="832"/>
      <c r="L94" s="964">
        <v>32389.3</v>
      </c>
      <c r="M94" s="964">
        <v>237430</v>
      </c>
      <c r="N94" s="964">
        <v>206</v>
      </c>
      <c r="O94" s="963">
        <v>2414</v>
      </c>
      <c r="P94" s="654" t="s">
        <v>811</v>
      </c>
      <c r="Q94" s="964">
        <v>0</v>
      </c>
      <c r="R94" s="964">
        <v>0</v>
      </c>
      <c r="S94" s="964"/>
    </row>
    <row r="95" spans="1:19" x14ac:dyDescent="0.2">
      <c r="A95" s="945">
        <v>2886</v>
      </c>
      <c r="B95" s="950" t="s">
        <v>97</v>
      </c>
      <c r="E95" s="964">
        <v>8363.6</v>
      </c>
      <c r="F95" s="964">
        <v>140</v>
      </c>
      <c r="G95" s="964">
        <v>581329</v>
      </c>
      <c r="H95" s="964">
        <v>350.19999999999982</v>
      </c>
      <c r="I95" s="964">
        <v>26512</v>
      </c>
      <c r="J95" s="832"/>
      <c r="K95" s="832"/>
      <c r="L95" s="964">
        <v>7623</v>
      </c>
      <c r="M95" s="964">
        <v>0</v>
      </c>
      <c r="N95" s="964">
        <v>139</v>
      </c>
      <c r="O95" s="963">
        <v>2737</v>
      </c>
      <c r="P95" s="654" t="s">
        <v>811</v>
      </c>
      <c r="Q95" s="964">
        <v>0</v>
      </c>
      <c r="R95" s="964">
        <v>0</v>
      </c>
      <c r="S95" s="964"/>
    </row>
    <row r="96" spans="1:19" x14ac:dyDescent="0.2">
      <c r="A96" s="945">
        <v>1828</v>
      </c>
      <c r="B96" s="950" t="s">
        <v>98</v>
      </c>
      <c r="E96" s="964">
        <v>10693.460000000001</v>
      </c>
      <c r="F96" s="964">
        <v>179</v>
      </c>
      <c r="G96" s="964">
        <v>820755</v>
      </c>
      <c r="H96" s="964">
        <v>447.26999999999953</v>
      </c>
      <c r="I96" s="964">
        <v>26512</v>
      </c>
      <c r="J96" s="832"/>
      <c r="K96" s="832"/>
      <c r="L96" s="964">
        <v>10531.42</v>
      </c>
      <c r="M96" s="964">
        <v>0</v>
      </c>
      <c r="N96" s="964">
        <v>178</v>
      </c>
      <c r="O96" s="963">
        <v>2058</v>
      </c>
      <c r="P96" s="654" t="s">
        <v>811</v>
      </c>
      <c r="Q96" s="964">
        <v>0</v>
      </c>
      <c r="R96" s="964">
        <v>0</v>
      </c>
      <c r="S96" s="964"/>
    </row>
    <row r="97" spans="1:19" x14ac:dyDescent="0.2">
      <c r="A97" s="945">
        <v>1826</v>
      </c>
      <c r="B97" s="950" t="s">
        <v>99</v>
      </c>
      <c r="E97" s="964">
        <v>12963.58</v>
      </c>
      <c r="F97" s="964">
        <v>217</v>
      </c>
      <c r="G97" s="964">
        <v>953512</v>
      </c>
      <c r="H97" s="964">
        <v>542.21</v>
      </c>
      <c r="I97" s="964">
        <v>0</v>
      </c>
      <c r="J97" s="832"/>
      <c r="K97" s="832"/>
      <c r="L97" s="964">
        <v>22666.69</v>
      </c>
      <c r="M97" s="964">
        <v>0</v>
      </c>
      <c r="N97" s="964">
        <v>217</v>
      </c>
      <c r="O97" s="963">
        <v>2057</v>
      </c>
      <c r="P97" s="654" t="s">
        <v>811</v>
      </c>
      <c r="Q97" s="964">
        <v>0</v>
      </c>
      <c r="R97" s="964">
        <v>0</v>
      </c>
      <c r="S97" s="964"/>
    </row>
    <row r="98" spans="1:19" x14ac:dyDescent="0.2">
      <c r="A98" s="945">
        <v>4698</v>
      </c>
      <c r="B98" s="951" t="s">
        <v>100</v>
      </c>
      <c r="E98" s="964">
        <v>24911.58</v>
      </c>
      <c r="F98" s="964">
        <v>417</v>
      </c>
      <c r="G98" s="964">
        <v>1419008</v>
      </c>
      <c r="H98" s="964">
        <v>1042.2099999999991</v>
      </c>
      <c r="I98" s="964">
        <v>39385</v>
      </c>
      <c r="J98" s="832"/>
      <c r="K98" s="832"/>
      <c r="L98" s="964">
        <v>23326.13</v>
      </c>
      <c r="M98" s="964">
        <v>0</v>
      </c>
      <c r="N98" s="964">
        <v>417</v>
      </c>
      <c r="O98" s="963">
        <v>3029</v>
      </c>
      <c r="P98" s="654" t="s">
        <v>811</v>
      </c>
      <c r="Q98" s="964">
        <v>0</v>
      </c>
      <c r="R98" s="964">
        <v>0</v>
      </c>
      <c r="S98" s="964"/>
    </row>
    <row r="99" spans="1:19" x14ac:dyDescent="0.2">
      <c r="A99" s="945">
        <v>2912</v>
      </c>
      <c r="B99" s="950" t="s">
        <v>101</v>
      </c>
      <c r="E99" s="964">
        <v>11171.380000000001</v>
      </c>
      <c r="F99" s="964">
        <v>187</v>
      </c>
      <c r="G99" s="964">
        <v>718762</v>
      </c>
      <c r="H99" s="964">
        <v>467.30999999999949</v>
      </c>
      <c r="I99" s="964">
        <v>16443</v>
      </c>
      <c r="J99" s="832"/>
      <c r="K99" s="832"/>
      <c r="L99" s="964">
        <v>2847.61</v>
      </c>
      <c r="M99" s="964">
        <v>0</v>
      </c>
      <c r="N99" s="964">
        <v>187</v>
      </c>
      <c r="O99" s="963">
        <v>2740</v>
      </c>
      <c r="P99" s="654" t="s">
        <v>811</v>
      </c>
      <c r="Q99" s="964">
        <v>0</v>
      </c>
      <c r="R99" s="964">
        <v>0</v>
      </c>
      <c r="S99" s="964"/>
    </row>
    <row r="100" spans="1:19" x14ac:dyDescent="0.2">
      <c r="A100" s="945">
        <v>3234</v>
      </c>
      <c r="B100" s="950" t="s">
        <v>102</v>
      </c>
      <c r="E100" s="964">
        <v>19415.5</v>
      </c>
      <c r="F100" s="964">
        <v>325</v>
      </c>
      <c r="G100" s="964">
        <v>1395374</v>
      </c>
      <c r="H100" s="964">
        <v>812.25</v>
      </c>
      <c r="I100" s="964">
        <v>31738</v>
      </c>
      <c r="J100" s="832"/>
      <c r="K100" s="832"/>
      <c r="L100" s="964">
        <v>37450.550000000003</v>
      </c>
      <c r="M100" s="964">
        <v>237430</v>
      </c>
      <c r="N100" s="964">
        <v>324</v>
      </c>
      <c r="O100" s="963">
        <v>2090</v>
      </c>
      <c r="P100" s="654" t="s">
        <v>811</v>
      </c>
      <c r="Q100" s="964">
        <v>0</v>
      </c>
      <c r="R100" s="964">
        <v>0</v>
      </c>
      <c r="S100" s="964"/>
    </row>
    <row r="101" spans="1:19" x14ac:dyDescent="0.2">
      <c r="A101" s="945">
        <v>2944</v>
      </c>
      <c r="B101" s="950" t="s">
        <v>103</v>
      </c>
      <c r="E101" s="964">
        <v>2509.08</v>
      </c>
      <c r="F101" s="964">
        <v>42</v>
      </c>
      <c r="G101" s="964">
        <v>292837</v>
      </c>
      <c r="H101" s="964">
        <v>105.46000000000015</v>
      </c>
      <c r="I101" s="964">
        <v>3314</v>
      </c>
      <c r="J101" s="832"/>
      <c r="K101" s="832"/>
      <c r="L101" s="964">
        <v>6413</v>
      </c>
      <c r="M101" s="964">
        <v>0</v>
      </c>
      <c r="N101" s="964">
        <v>41</v>
      </c>
      <c r="O101" s="963">
        <v>2500</v>
      </c>
      <c r="P101" s="654" t="s">
        <v>811</v>
      </c>
      <c r="Q101" s="964">
        <v>0</v>
      </c>
      <c r="R101" s="964">
        <v>0</v>
      </c>
      <c r="S101" s="964"/>
    </row>
    <row r="102" spans="1:19" x14ac:dyDescent="0.2">
      <c r="A102" s="945">
        <v>1412</v>
      </c>
      <c r="B102" s="950" t="s">
        <v>104</v>
      </c>
      <c r="E102" s="964">
        <v>17060.748333333333</v>
      </c>
      <c r="F102" s="964">
        <v>285.58333333333331</v>
      </c>
      <c r="G102" s="964">
        <v>1079364</v>
      </c>
      <c r="H102" s="964">
        <v>725.37607678887071</v>
      </c>
      <c r="I102" s="964">
        <v>21031</v>
      </c>
      <c r="J102" s="832"/>
      <c r="K102" s="832"/>
      <c r="L102" s="964">
        <v>-6723.91</v>
      </c>
      <c r="M102" s="964">
        <v>0</v>
      </c>
      <c r="N102" s="964">
        <v>284.58333333333331</v>
      </c>
      <c r="O102" s="963">
        <v>2838</v>
      </c>
      <c r="P102" s="654" t="s">
        <v>857</v>
      </c>
      <c r="Q102" s="964">
        <v>0</v>
      </c>
      <c r="R102" s="964">
        <v>0</v>
      </c>
      <c r="S102" s="964"/>
    </row>
    <row r="103" spans="1:19" x14ac:dyDescent="0.2">
      <c r="A103" s="947">
        <v>1776</v>
      </c>
      <c r="B103" s="950" t="s">
        <v>105</v>
      </c>
      <c r="E103" s="964">
        <v>21073.285</v>
      </c>
      <c r="F103" s="964">
        <v>352.75</v>
      </c>
      <c r="G103" s="964">
        <v>1306557</v>
      </c>
      <c r="H103" s="964">
        <v>881.85750000000007</v>
      </c>
      <c r="I103" s="964">
        <v>27914</v>
      </c>
      <c r="J103" s="832"/>
      <c r="K103" s="832"/>
      <c r="L103" s="964">
        <v>4411.8599999999997</v>
      </c>
      <c r="M103" s="964">
        <v>0</v>
      </c>
      <c r="N103" s="964">
        <v>351.75</v>
      </c>
      <c r="O103" s="963">
        <v>5216</v>
      </c>
      <c r="P103" s="654" t="s">
        <v>811</v>
      </c>
      <c r="Q103" s="964">
        <v>0</v>
      </c>
      <c r="R103" s="964">
        <v>0</v>
      </c>
      <c r="S103" s="964"/>
    </row>
    <row r="104" spans="1:19" x14ac:dyDescent="0.2">
      <c r="A104" s="945">
        <v>1417</v>
      </c>
      <c r="B104" s="950" t="s">
        <v>106</v>
      </c>
      <c r="E104" s="964">
        <v>24851.84</v>
      </c>
      <c r="F104" s="964">
        <v>416</v>
      </c>
      <c r="G104" s="964">
        <v>1480811</v>
      </c>
      <c r="H104" s="964">
        <v>1056.1244164954878</v>
      </c>
      <c r="I104" s="964">
        <v>39130</v>
      </c>
      <c r="J104" s="832"/>
      <c r="K104" s="832"/>
      <c r="L104" s="964">
        <v>45376.5</v>
      </c>
      <c r="M104" s="964">
        <v>0</v>
      </c>
      <c r="N104" s="964">
        <v>416</v>
      </c>
      <c r="O104" s="963">
        <v>2013</v>
      </c>
      <c r="P104" s="654" t="s">
        <v>857</v>
      </c>
      <c r="Q104" s="964">
        <v>0</v>
      </c>
      <c r="R104" s="964">
        <v>0</v>
      </c>
      <c r="S104" s="964"/>
    </row>
    <row r="105" spans="1:19" x14ac:dyDescent="0.2">
      <c r="A105" s="945">
        <v>3788</v>
      </c>
      <c r="B105" s="950" t="s">
        <v>107</v>
      </c>
      <c r="E105" s="964">
        <v>12724.62</v>
      </c>
      <c r="F105" s="964">
        <v>213</v>
      </c>
      <c r="G105" s="964">
        <v>850520</v>
      </c>
      <c r="H105" s="964">
        <v>532.6899999999996</v>
      </c>
      <c r="I105" s="964">
        <v>37728</v>
      </c>
      <c r="J105" s="832"/>
      <c r="K105" s="832"/>
      <c r="L105" s="964">
        <v>24304.81</v>
      </c>
      <c r="M105" s="964">
        <v>0</v>
      </c>
      <c r="N105" s="964">
        <v>211</v>
      </c>
      <c r="O105" s="963">
        <v>2521</v>
      </c>
      <c r="P105" s="654" t="s">
        <v>811</v>
      </c>
      <c r="Q105" s="964">
        <v>0</v>
      </c>
      <c r="R105" s="964">
        <v>0</v>
      </c>
      <c r="S105" s="964"/>
    </row>
    <row r="106" spans="1:19" x14ac:dyDescent="0.2">
      <c r="A106" s="945">
        <v>4820</v>
      </c>
      <c r="B106" s="950" t="s">
        <v>108</v>
      </c>
      <c r="E106" s="964">
        <v>11470.08</v>
      </c>
      <c r="F106" s="964">
        <v>192</v>
      </c>
      <c r="G106" s="964">
        <v>768289</v>
      </c>
      <c r="H106" s="964">
        <v>479.96000000000004</v>
      </c>
      <c r="I106" s="964">
        <v>18354</v>
      </c>
      <c r="J106" s="832"/>
      <c r="K106" s="832"/>
      <c r="L106" s="964">
        <v>3669.55</v>
      </c>
      <c r="M106" s="964">
        <v>0</v>
      </c>
      <c r="N106" s="964">
        <v>192</v>
      </c>
      <c r="O106" s="963">
        <v>3813</v>
      </c>
      <c r="P106" s="654" t="s">
        <v>811</v>
      </c>
      <c r="Q106" s="964">
        <v>0</v>
      </c>
      <c r="R106" s="964">
        <v>0</v>
      </c>
      <c r="S106" s="964"/>
    </row>
    <row r="107" spans="1:19" x14ac:dyDescent="0.2">
      <c r="A107" s="945">
        <v>2682</v>
      </c>
      <c r="B107" s="950" t="s">
        <v>109</v>
      </c>
      <c r="E107" s="964">
        <v>13740.2</v>
      </c>
      <c r="F107" s="964">
        <v>230</v>
      </c>
      <c r="G107" s="964">
        <v>883546</v>
      </c>
      <c r="H107" s="964">
        <v>574.89999999999964</v>
      </c>
      <c r="I107" s="964">
        <v>19374</v>
      </c>
      <c r="J107" s="832"/>
      <c r="K107" s="832"/>
      <c r="L107" s="964">
        <v>21859.5</v>
      </c>
      <c r="M107" s="964">
        <v>0</v>
      </c>
      <c r="N107" s="964">
        <v>230</v>
      </c>
      <c r="O107" s="963">
        <v>3006</v>
      </c>
      <c r="P107" s="654" t="s">
        <v>811</v>
      </c>
      <c r="Q107" s="964">
        <v>0</v>
      </c>
      <c r="R107" s="964">
        <v>0</v>
      </c>
      <c r="S107" s="964"/>
    </row>
    <row r="108" spans="1:19" x14ac:dyDescent="0.2">
      <c r="A108" s="945">
        <v>1830</v>
      </c>
      <c r="B108" s="950" t="s">
        <v>110</v>
      </c>
      <c r="E108" s="964">
        <v>16463.348333333332</v>
      </c>
      <c r="F108" s="964">
        <v>275.58333333333331</v>
      </c>
      <c r="G108" s="964">
        <v>964877</v>
      </c>
      <c r="H108" s="964">
        <v>688.82583333333605</v>
      </c>
      <c r="I108" s="964">
        <v>28934</v>
      </c>
      <c r="J108" s="832"/>
      <c r="K108" s="832"/>
      <c r="L108" s="964">
        <v>-8624.1299999999992</v>
      </c>
      <c r="M108" s="964">
        <v>0</v>
      </c>
      <c r="N108" s="964">
        <v>274.58333333333331</v>
      </c>
      <c r="O108" s="963">
        <v>2064</v>
      </c>
      <c r="P108" s="654" t="s">
        <v>811</v>
      </c>
      <c r="Q108" s="964">
        <v>0</v>
      </c>
      <c r="R108" s="964">
        <v>0</v>
      </c>
      <c r="S108" s="964"/>
    </row>
    <row r="109" spans="1:19" x14ac:dyDescent="0.2">
      <c r="A109" s="947">
        <v>4824</v>
      </c>
      <c r="B109" s="950" t="s">
        <v>111</v>
      </c>
      <c r="E109" s="964">
        <v>15412.92</v>
      </c>
      <c r="F109" s="964">
        <v>258</v>
      </c>
      <c r="G109" s="964">
        <v>964470</v>
      </c>
      <c r="H109" s="964">
        <v>644.54</v>
      </c>
      <c r="I109" s="964">
        <v>48690</v>
      </c>
      <c r="J109" s="832"/>
      <c r="K109" s="832"/>
      <c r="L109" s="964">
        <v>3575.95</v>
      </c>
      <c r="M109" s="964">
        <v>0</v>
      </c>
      <c r="N109" s="964">
        <v>258</v>
      </c>
      <c r="O109" s="963">
        <v>5276</v>
      </c>
      <c r="P109" s="654" t="s">
        <v>811</v>
      </c>
      <c r="Q109" s="964">
        <v>0</v>
      </c>
      <c r="R109" s="964">
        <v>0</v>
      </c>
      <c r="S109" s="964"/>
    </row>
    <row r="110" spans="1:19" x14ac:dyDescent="0.2">
      <c r="A110" s="945">
        <v>3052</v>
      </c>
      <c r="B110" s="950" t="s">
        <v>112</v>
      </c>
      <c r="E110" s="964">
        <v>11111.640000000001</v>
      </c>
      <c r="F110" s="964">
        <v>186</v>
      </c>
      <c r="G110" s="964">
        <v>734977</v>
      </c>
      <c r="H110" s="964">
        <v>472.00274391384755</v>
      </c>
      <c r="I110" s="964">
        <v>0</v>
      </c>
      <c r="J110" s="832"/>
      <c r="K110" s="832"/>
      <c r="L110" s="964">
        <v>3361.82</v>
      </c>
      <c r="M110" s="964">
        <v>0</v>
      </c>
      <c r="N110" s="964">
        <v>186</v>
      </c>
      <c r="O110" s="963">
        <v>3780</v>
      </c>
      <c r="P110" s="654" t="s">
        <v>857</v>
      </c>
      <c r="Q110" s="964">
        <v>0</v>
      </c>
      <c r="R110" s="964">
        <v>0</v>
      </c>
      <c r="S110" s="964"/>
    </row>
    <row r="111" spans="1:19" x14ac:dyDescent="0.2">
      <c r="A111" s="945">
        <v>3050</v>
      </c>
      <c r="B111" s="951" t="s">
        <v>113</v>
      </c>
      <c r="E111" s="964">
        <v>7885.68</v>
      </c>
      <c r="F111" s="964">
        <v>132</v>
      </c>
      <c r="G111" s="964">
        <v>564218</v>
      </c>
      <c r="H111" s="964">
        <v>335.35678600337587</v>
      </c>
      <c r="I111" s="964">
        <v>28551</v>
      </c>
      <c r="J111" s="832"/>
      <c r="K111" s="832"/>
      <c r="L111" s="964">
        <v>8608.5499999999993</v>
      </c>
      <c r="M111" s="964">
        <v>0</v>
      </c>
      <c r="N111" s="964">
        <v>132</v>
      </c>
      <c r="O111" s="963">
        <v>2599</v>
      </c>
      <c r="P111" s="654" t="s">
        <v>857</v>
      </c>
      <c r="Q111" s="964">
        <v>0</v>
      </c>
      <c r="R111" s="964">
        <v>0</v>
      </c>
      <c r="S111" s="964"/>
    </row>
    <row r="112" spans="1:19" x14ac:dyDescent="0.2">
      <c r="A112" s="945">
        <v>3064</v>
      </c>
      <c r="B112" s="950" t="s">
        <v>114</v>
      </c>
      <c r="E112" s="964">
        <v>11948</v>
      </c>
      <c r="F112" s="964">
        <v>200</v>
      </c>
      <c r="G112" s="964">
        <v>771966</v>
      </c>
      <c r="H112" s="964">
        <v>507.54058485360019</v>
      </c>
      <c r="I112" s="964">
        <v>18100</v>
      </c>
      <c r="J112" s="832"/>
      <c r="K112" s="832"/>
      <c r="L112" s="964">
        <v>3426.35</v>
      </c>
      <c r="M112" s="964">
        <v>0</v>
      </c>
      <c r="N112" s="964">
        <v>200</v>
      </c>
      <c r="O112" s="963">
        <v>3422</v>
      </c>
      <c r="P112" s="654" t="s">
        <v>857</v>
      </c>
      <c r="Q112" s="964">
        <v>0</v>
      </c>
      <c r="R112" s="964">
        <v>0</v>
      </c>
      <c r="S112" s="964"/>
    </row>
    <row r="113" spans="1:19" x14ac:dyDescent="0.2">
      <c r="A113" s="945">
        <v>1372</v>
      </c>
      <c r="B113" s="950" t="s">
        <v>879</v>
      </c>
      <c r="E113" s="964">
        <v>32498.560000000001</v>
      </c>
      <c r="F113" s="964">
        <v>544</v>
      </c>
      <c r="G113" s="964">
        <v>2075268</v>
      </c>
      <c r="H113" s="964">
        <v>1359.7199999999993</v>
      </c>
      <c r="I113" s="964">
        <v>36326</v>
      </c>
      <c r="J113" s="832"/>
      <c r="K113" s="832"/>
      <c r="L113" s="964">
        <v>51528.51</v>
      </c>
      <c r="M113" s="964">
        <v>0</v>
      </c>
      <c r="N113" s="964">
        <v>544</v>
      </c>
      <c r="O113" s="963">
        <v>2300</v>
      </c>
      <c r="P113" s="654" t="s">
        <v>811</v>
      </c>
      <c r="Q113" s="964">
        <v>0</v>
      </c>
      <c r="R113" s="964">
        <v>0</v>
      </c>
      <c r="S113" s="964"/>
    </row>
    <row r="114" spans="1:19" x14ac:dyDescent="0.2">
      <c r="A114" s="945">
        <v>1376</v>
      </c>
      <c r="B114" s="950" t="s">
        <v>115</v>
      </c>
      <c r="E114" s="964">
        <v>18399.920000000002</v>
      </c>
      <c r="F114" s="964">
        <v>308</v>
      </c>
      <c r="G114" s="964">
        <v>1193050</v>
      </c>
      <c r="H114" s="964">
        <v>770.03999999999814</v>
      </c>
      <c r="I114" s="964">
        <v>57484</v>
      </c>
      <c r="J114" s="832"/>
      <c r="K114" s="832"/>
      <c r="L114" s="964">
        <v>46077.09</v>
      </c>
      <c r="M114" s="964">
        <v>0</v>
      </c>
      <c r="N114" s="964">
        <v>308</v>
      </c>
      <c r="O114" s="963">
        <v>2669</v>
      </c>
      <c r="P114" s="654" t="s">
        <v>811</v>
      </c>
      <c r="Q114" s="964">
        <v>0</v>
      </c>
      <c r="R114" s="964">
        <v>0</v>
      </c>
      <c r="S114" s="964"/>
    </row>
    <row r="115" spans="1:19" x14ac:dyDescent="0.2">
      <c r="A115" s="945">
        <v>3108</v>
      </c>
      <c r="B115" s="950" t="s">
        <v>116</v>
      </c>
      <c r="E115" s="964">
        <v>11649.300000000001</v>
      </c>
      <c r="F115" s="964">
        <v>195</v>
      </c>
      <c r="G115" s="964">
        <v>807301</v>
      </c>
      <c r="H115" s="964">
        <v>494.77707023225958</v>
      </c>
      <c r="I115" s="964">
        <v>14658</v>
      </c>
      <c r="J115" s="832"/>
      <c r="K115" s="832"/>
      <c r="L115" s="964">
        <v>22681.78</v>
      </c>
      <c r="M115" s="964">
        <v>0</v>
      </c>
      <c r="N115" s="964">
        <v>194</v>
      </c>
      <c r="O115" s="963">
        <v>2680</v>
      </c>
      <c r="P115" s="654" t="s">
        <v>857</v>
      </c>
      <c r="Q115" s="964">
        <v>0</v>
      </c>
      <c r="R115" s="964">
        <v>0</v>
      </c>
      <c r="S115" s="964"/>
    </row>
    <row r="116" spans="1:19" x14ac:dyDescent="0.2">
      <c r="A116" s="945">
        <v>1832</v>
      </c>
      <c r="B116" s="950" t="s">
        <v>117</v>
      </c>
      <c r="E116" s="964">
        <v>12425.92</v>
      </c>
      <c r="F116" s="964">
        <v>208</v>
      </c>
      <c r="G116" s="964">
        <v>866428</v>
      </c>
      <c r="H116" s="964">
        <v>520.04</v>
      </c>
      <c r="I116" s="964">
        <v>17972</v>
      </c>
      <c r="J116" s="832"/>
      <c r="K116" s="832"/>
      <c r="L116" s="964">
        <v>2512.86</v>
      </c>
      <c r="M116" s="964">
        <v>0</v>
      </c>
      <c r="N116" s="964">
        <v>208</v>
      </c>
      <c r="O116" s="963">
        <v>3001</v>
      </c>
      <c r="P116" s="654" t="s">
        <v>811</v>
      </c>
      <c r="Q116" s="964">
        <v>0</v>
      </c>
      <c r="R116" s="964">
        <v>0</v>
      </c>
      <c r="S116" s="964"/>
    </row>
    <row r="117" spans="1:19" x14ac:dyDescent="0.2">
      <c r="A117" s="945">
        <v>1836</v>
      </c>
      <c r="B117" s="950" t="s">
        <v>118</v>
      </c>
      <c r="E117" s="964">
        <v>10394.76</v>
      </c>
      <c r="F117" s="964">
        <v>174</v>
      </c>
      <c r="G117" s="964">
        <v>791192</v>
      </c>
      <c r="H117" s="964">
        <v>434.61999999999989</v>
      </c>
      <c r="I117" s="964">
        <v>32120</v>
      </c>
      <c r="J117" s="832"/>
      <c r="K117" s="832"/>
      <c r="L117" s="964">
        <v>9580.48</v>
      </c>
      <c r="M117" s="964">
        <v>0</v>
      </c>
      <c r="N117" s="964">
        <v>174</v>
      </c>
      <c r="O117" s="963">
        <v>2017</v>
      </c>
      <c r="P117" s="654" t="s">
        <v>811</v>
      </c>
      <c r="Q117" s="964">
        <v>0</v>
      </c>
      <c r="R117" s="964">
        <v>0</v>
      </c>
      <c r="S117" s="964"/>
    </row>
    <row r="118" spans="1:19" x14ac:dyDescent="0.2">
      <c r="A118" s="947">
        <v>1122</v>
      </c>
      <c r="B118" s="950" t="s">
        <v>863</v>
      </c>
      <c r="E118" s="964">
        <v>24373.920000000002</v>
      </c>
      <c r="F118" s="964">
        <v>408</v>
      </c>
      <c r="G118" s="964">
        <v>1474225</v>
      </c>
      <c r="H118" s="964">
        <v>1036.1027931013432</v>
      </c>
      <c r="I118" s="964">
        <v>32630</v>
      </c>
      <c r="J118" s="832"/>
      <c r="K118" s="832"/>
      <c r="L118" s="964">
        <v>5001</v>
      </c>
      <c r="M118" s="964">
        <v>0</v>
      </c>
      <c r="N118" s="964">
        <v>408</v>
      </c>
      <c r="O118" s="963">
        <v>5228</v>
      </c>
      <c r="P118" s="654" t="s">
        <v>857</v>
      </c>
      <c r="Q118" s="964">
        <v>0</v>
      </c>
      <c r="R118" s="964">
        <v>0</v>
      </c>
      <c r="S118" s="964"/>
    </row>
    <row r="119" spans="1:19" x14ac:dyDescent="0.2">
      <c r="A119" s="945">
        <v>3208</v>
      </c>
      <c r="B119" s="950" t="s">
        <v>119</v>
      </c>
      <c r="E119" s="964">
        <v>8781.7800000000007</v>
      </c>
      <c r="F119" s="964">
        <v>147</v>
      </c>
      <c r="G119" s="964">
        <v>621975</v>
      </c>
      <c r="H119" s="964">
        <v>367.10999999999967</v>
      </c>
      <c r="I119" s="964">
        <v>14531</v>
      </c>
      <c r="J119" s="832"/>
      <c r="K119" s="832"/>
      <c r="L119" s="964">
        <v>18401.5</v>
      </c>
      <c r="M119" s="964">
        <v>0</v>
      </c>
      <c r="N119" s="964">
        <v>147</v>
      </c>
      <c r="O119" s="963">
        <v>2038</v>
      </c>
      <c r="P119" s="654" t="s">
        <v>811</v>
      </c>
      <c r="Q119" s="964">
        <v>0</v>
      </c>
      <c r="R119" s="964">
        <v>0</v>
      </c>
      <c r="S119" s="964"/>
    </row>
    <row r="120" spans="1:19" x14ac:dyDescent="0.2">
      <c r="A120" s="945">
        <v>3216</v>
      </c>
      <c r="B120" s="951" t="s">
        <v>120</v>
      </c>
      <c r="E120" s="964">
        <v>6033.74</v>
      </c>
      <c r="F120" s="964">
        <v>101</v>
      </c>
      <c r="G120" s="964">
        <v>460711</v>
      </c>
      <c r="H120" s="964">
        <v>252.13000000000011</v>
      </c>
      <c r="I120" s="964">
        <v>9305</v>
      </c>
      <c r="J120" s="832"/>
      <c r="K120" s="832"/>
      <c r="L120" s="964">
        <v>5228.5</v>
      </c>
      <c r="M120" s="964">
        <v>0</v>
      </c>
      <c r="N120" s="964">
        <v>100</v>
      </c>
      <c r="O120" s="963">
        <v>2039</v>
      </c>
      <c r="P120" s="654" t="s">
        <v>811</v>
      </c>
      <c r="Q120" s="964">
        <v>0</v>
      </c>
      <c r="R120" s="964">
        <v>0</v>
      </c>
      <c r="S120" s="964"/>
    </row>
    <row r="121" spans="1:19" x14ac:dyDescent="0.2">
      <c r="A121" s="947">
        <v>3232</v>
      </c>
      <c r="B121" s="950" t="s">
        <v>121</v>
      </c>
      <c r="E121" s="964">
        <v>12246.7</v>
      </c>
      <c r="F121" s="964">
        <v>205</v>
      </c>
      <c r="G121" s="964">
        <v>760765</v>
      </c>
      <c r="H121" s="964">
        <v>512.64999999999964</v>
      </c>
      <c r="I121" s="964">
        <v>20266</v>
      </c>
      <c r="J121" s="832"/>
      <c r="K121" s="832"/>
      <c r="L121" s="964">
        <v>4041.15</v>
      </c>
      <c r="M121" s="964">
        <v>0</v>
      </c>
      <c r="N121" s="964">
        <v>205</v>
      </c>
      <c r="O121" s="963">
        <v>5257</v>
      </c>
      <c r="P121" s="654" t="s">
        <v>811</v>
      </c>
      <c r="Q121" s="964">
        <v>0</v>
      </c>
      <c r="R121" s="964">
        <v>0</v>
      </c>
      <c r="S121" s="964"/>
    </row>
    <row r="122" spans="1:19" x14ac:dyDescent="0.2">
      <c r="A122" s="945">
        <v>3246</v>
      </c>
      <c r="B122" s="950" t="s">
        <v>122</v>
      </c>
      <c r="E122" s="964">
        <v>12485.66</v>
      </c>
      <c r="F122" s="964">
        <v>209</v>
      </c>
      <c r="G122" s="964">
        <v>797450</v>
      </c>
      <c r="H122" s="964">
        <v>522.17000000000007</v>
      </c>
      <c r="I122" s="964">
        <v>18609</v>
      </c>
      <c r="J122" s="832"/>
      <c r="K122" s="832"/>
      <c r="L122" s="964">
        <v>13570.86</v>
      </c>
      <c r="M122" s="964">
        <v>0</v>
      </c>
      <c r="N122" s="964">
        <v>208</v>
      </c>
      <c r="O122" s="963">
        <v>3026</v>
      </c>
      <c r="P122" s="654" t="s">
        <v>811</v>
      </c>
      <c r="Q122" s="964">
        <v>0</v>
      </c>
      <c r="R122" s="964">
        <v>0</v>
      </c>
      <c r="S122" s="964"/>
    </row>
    <row r="123" spans="1:19" x14ac:dyDescent="0.2">
      <c r="A123" s="947">
        <v>4656</v>
      </c>
      <c r="B123" s="950" t="s">
        <v>880</v>
      </c>
      <c r="E123" s="964">
        <v>25270.02</v>
      </c>
      <c r="F123" s="964">
        <v>423</v>
      </c>
      <c r="G123" s="964">
        <v>1530549</v>
      </c>
      <c r="H123" s="964">
        <v>1074.3933369653641</v>
      </c>
      <c r="I123" s="964">
        <v>32247</v>
      </c>
      <c r="J123" s="832"/>
      <c r="K123" s="832"/>
      <c r="L123" s="964">
        <v>9040.8799999999992</v>
      </c>
      <c r="M123" s="964">
        <v>0</v>
      </c>
      <c r="N123" s="964">
        <v>420</v>
      </c>
      <c r="O123" s="963">
        <v>5242</v>
      </c>
      <c r="P123" s="654" t="s">
        <v>857</v>
      </c>
      <c r="Q123" s="964">
        <v>0</v>
      </c>
      <c r="R123" s="964">
        <v>0</v>
      </c>
      <c r="S123" s="964"/>
    </row>
    <row r="124" spans="1:19" x14ac:dyDescent="0.2">
      <c r="A124" s="945">
        <v>1838</v>
      </c>
      <c r="B124" s="950" t="s">
        <v>123</v>
      </c>
      <c r="E124" s="964">
        <v>12306.44</v>
      </c>
      <c r="F124" s="964">
        <v>206</v>
      </c>
      <c r="G124" s="964">
        <v>818508</v>
      </c>
      <c r="H124" s="964">
        <v>514.77999999999975</v>
      </c>
      <c r="I124" s="964">
        <v>19374</v>
      </c>
      <c r="J124" s="832"/>
      <c r="K124" s="832"/>
      <c r="L124" s="964">
        <v>18145.43</v>
      </c>
      <c r="M124" s="964">
        <v>0</v>
      </c>
      <c r="N124" s="964">
        <v>206</v>
      </c>
      <c r="O124" s="963">
        <v>2006</v>
      </c>
      <c r="P124" s="654" t="s">
        <v>811</v>
      </c>
      <c r="Q124" s="964">
        <v>0</v>
      </c>
      <c r="R124" s="964">
        <v>0</v>
      </c>
      <c r="S124" s="964"/>
    </row>
    <row r="125" spans="1:19" x14ac:dyDescent="0.2">
      <c r="A125" s="945">
        <v>1734</v>
      </c>
      <c r="B125" s="950" t="s">
        <v>124</v>
      </c>
      <c r="E125" s="964">
        <v>10394.76</v>
      </c>
      <c r="F125" s="964">
        <v>174</v>
      </c>
      <c r="G125" s="964">
        <v>783223</v>
      </c>
      <c r="H125" s="964">
        <v>441.97030882263152</v>
      </c>
      <c r="I125" s="964">
        <v>0</v>
      </c>
      <c r="J125" s="832"/>
      <c r="K125" s="832"/>
      <c r="L125" s="964">
        <v>24907.08</v>
      </c>
      <c r="M125" s="964">
        <v>0</v>
      </c>
      <c r="N125" s="964">
        <v>174</v>
      </c>
      <c r="O125" s="963">
        <v>2647</v>
      </c>
      <c r="P125" s="654" t="s">
        <v>857</v>
      </c>
      <c r="Q125" s="964">
        <v>0</v>
      </c>
      <c r="R125" s="964">
        <v>0</v>
      </c>
      <c r="S125" s="964"/>
    </row>
    <row r="126" spans="1:19" x14ac:dyDescent="0.2">
      <c r="A126" s="945">
        <v>1129</v>
      </c>
      <c r="B126" s="950" t="s">
        <v>125</v>
      </c>
      <c r="E126" s="964">
        <v>24553.14</v>
      </c>
      <c r="F126" s="964">
        <v>411</v>
      </c>
      <c r="G126" s="964">
        <v>1532146</v>
      </c>
      <c r="H126" s="964">
        <v>1043.3609018741481</v>
      </c>
      <c r="I126" s="964">
        <v>36963</v>
      </c>
      <c r="J126" s="832"/>
      <c r="K126" s="832"/>
      <c r="L126" s="964">
        <v>33092.01</v>
      </c>
      <c r="M126" s="964">
        <v>0</v>
      </c>
      <c r="N126" s="964">
        <v>411</v>
      </c>
      <c r="O126" s="963">
        <v>3781</v>
      </c>
      <c r="P126" s="654" t="s">
        <v>857</v>
      </c>
      <c r="Q126" s="964">
        <v>0</v>
      </c>
      <c r="R126" s="964">
        <v>0</v>
      </c>
      <c r="S126" s="964"/>
    </row>
    <row r="127" spans="1:19" x14ac:dyDescent="0.2">
      <c r="A127" s="945">
        <v>3262</v>
      </c>
      <c r="B127" s="950" t="s">
        <v>126</v>
      </c>
      <c r="E127" s="964">
        <v>8244.1200000000008</v>
      </c>
      <c r="F127" s="964">
        <v>138</v>
      </c>
      <c r="G127" s="964">
        <v>562331</v>
      </c>
      <c r="H127" s="964">
        <v>344.93999999999915</v>
      </c>
      <c r="I127" s="964">
        <v>9305</v>
      </c>
      <c r="J127" s="832"/>
      <c r="K127" s="832"/>
      <c r="L127" s="964">
        <v>2489.65</v>
      </c>
      <c r="M127" s="964">
        <v>0</v>
      </c>
      <c r="N127" s="964">
        <v>138</v>
      </c>
      <c r="O127" s="963">
        <v>3610</v>
      </c>
      <c r="P127" s="654" t="s">
        <v>811</v>
      </c>
      <c r="Q127" s="964">
        <v>0</v>
      </c>
      <c r="R127" s="964">
        <v>0</v>
      </c>
      <c r="S127" s="964"/>
    </row>
    <row r="128" spans="1:19" x14ac:dyDescent="0.2">
      <c r="A128" s="945">
        <v>3278</v>
      </c>
      <c r="B128" s="950" t="s">
        <v>127</v>
      </c>
      <c r="E128" s="964">
        <v>12177.003333333334</v>
      </c>
      <c r="F128" s="964">
        <v>203.83333333333334</v>
      </c>
      <c r="G128" s="964">
        <v>773929</v>
      </c>
      <c r="H128" s="964">
        <v>509.49833333333299</v>
      </c>
      <c r="I128" s="964">
        <v>19247</v>
      </c>
      <c r="J128" s="832"/>
      <c r="K128" s="832"/>
      <c r="L128" s="964">
        <v>5066.01</v>
      </c>
      <c r="M128" s="964">
        <v>0</v>
      </c>
      <c r="N128" s="964">
        <v>202.83333333333334</v>
      </c>
      <c r="O128" s="963">
        <v>3530</v>
      </c>
      <c r="P128" s="654" t="s">
        <v>811</v>
      </c>
      <c r="Q128" s="964">
        <v>0</v>
      </c>
      <c r="R128" s="964">
        <v>0</v>
      </c>
      <c r="S128" s="964"/>
    </row>
    <row r="129" spans="1:19" x14ac:dyDescent="0.2">
      <c r="A129" s="945">
        <v>2992</v>
      </c>
      <c r="B129" s="950" t="s">
        <v>128</v>
      </c>
      <c r="E129" s="964">
        <v>24672.620000000003</v>
      </c>
      <c r="F129" s="964">
        <v>413</v>
      </c>
      <c r="G129" s="964">
        <v>1467613</v>
      </c>
      <c r="H129" s="964">
        <v>1048.8663077226829</v>
      </c>
      <c r="I129" s="964">
        <v>33904</v>
      </c>
      <c r="J129" s="832"/>
      <c r="K129" s="832"/>
      <c r="L129" s="964">
        <v>33024.129999999997</v>
      </c>
      <c r="M129" s="964">
        <v>0</v>
      </c>
      <c r="N129" s="964">
        <v>411</v>
      </c>
      <c r="O129" s="963">
        <v>2588</v>
      </c>
      <c r="P129" s="654" t="s">
        <v>857</v>
      </c>
      <c r="Q129" s="964">
        <v>0</v>
      </c>
      <c r="R129" s="964">
        <v>0</v>
      </c>
      <c r="S129" s="964"/>
    </row>
    <row r="130" spans="1:19" x14ac:dyDescent="0.2">
      <c r="A130" s="945">
        <v>3350</v>
      </c>
      <c r="B130" s="950" t="s">
        <v>129</v>
      </c>
      <c r="E130" s="964">
        <v>6153.22</v>
      </c>
      <c r="F130" s="964">
        <v>103</v>
      </c>
      <c r="G130" s="964">
        <v>464433</v>
      </c>
      <c r="H130" s="964">
        <v>257.38999999999987</v>
      </c>
      <c r="I130" s="964">
        <v>9815</v>
      </c>
      <c r="J130" s="832"/>
      <c r="K130" s="832"/>
      <c r="L130" s="964">
        <v>10642.98</v>
      </c>
      <c r="M130" s="964">
        <v>0</v>
      </c>
      <c r="N130" s="964">
        <v>102</v>
      </c>
      <c r="O130" s="963">
        <v>2750</v>
      </c>
      <c r="P130" s="654" t="s">
        <v>811</v>
      </c>
      <c r="Q130" s="964">
        <v>0</v>
      </c>
      <c r="R130" s="964">
        <v>0</v>
      </c>
      <c r="S130" s="964"/>
    </row>
    <row r="131" spans="1:19" x14ac:dyDescent="0.2">
      <c r="A131" s="945">
        <v>3370</v>
      </c>
      <c r="B131" s="950" t="s">
        <v>130</v>
      </c>
      <c r="E131" s="964">
        <v>4779.2</v>
      </c>
      <c r="F131" s="964">
        <v>80</v>
      </c>
      <c r="G131" s="964">
        <v>407555</v>
      </c>
      <c r="H131" s="964">
        <v>203.21623394144035</v>
      </c>
      <c r="I131" s="964">
        <v>8030</v>
      </c>
      <c r="J131" s="832"/>
      <c r="K131" s="832"/>
      <c r="L131" s="964">
        <v>9445.5</v>
      </c>
      <c r="M131" s="964">
        <v>0</v>
      </c>
      <c r="N131" s="964">
        <v>80</v>
      </c>
      <c r="O131" s="963">
        <v>3239</v>
      </c>
      <c r="P131" s="654" t="s">
        <v>857</v>
      </c>
      <c r="Q131" s="964">
        <v>0</v>
      </c>
      <c r="R131" s="964">
        <v>0</v>
      </c>
      <c r="S131" s="964"/>
    </row>
    <row r="132" spans="1:19" x14ac:dyDescent="0.2">
      <c r="A132" s="945">
        <v>2856</v>
      </c>
      <c r="B132" s="950" t="s">
        <v>131</v>
      </c>
      <c r="E132" s="964">
        <v>20480.863333333335</v>
      </c>
      <c r="F132" s="964">
        <v>342.83333333333331</v>
      </c>
      <c r="G132" s="964">
        <v>1361853</v>
      </c>
      <c r="H132" s="964">
        <v>857.5683333333327</v>
      </c>
      <c r="I132" s="964">
        <v>21413</v>
      </c>
      <c r="J132" s="832"/>
      <c r="K132" s="832"/>
      <c r="L132" s="964">
        <v>26240.36</v>
      </c>
      <c r="M132" s="964">
        <v>0</v>
      </c>
      <c r="N132" s="964">
        <v>342.83333333333331</v>
      </c>
      <c r="O132" s="963">
        <v>2059</v>
      </c>
      <c r="P132" s="654" t="s">
        <v>811</v>
      </c>
      <c r="Q132" s="964">
        <v>0</v>
      </c>
      <c r="R132" s="964">
        <v>0</v>
      </c>
      <c r="S132" s="964"/>
    </row>
    <row r="133" spans="1:19" x14ac:dyDescent="0.2">
      <c r="A133" s="947">
        <v>4714</v>
      </c>
      <c r="B133" s="950" t="s">
        <v>132</v>
      </c>
      <c r="E133" s="964">
        <v>23896</v>
      </c>
      <c r="F133" s="964">
        <v>400</v>
      </c>
      <c r="G133" s="964">
        <v>1360808</v>
      </c>
      <c r="H133" s="964">
        <v>1000</v>
      </c>
      <c r="I133" s="964">
        <v>32630</v>
      </c>
      <c r="J133" s="832"/>
      <c r="K133" s="832"/>
      <c r="L133" s="964">
        <v>9480.9</v>
      </c>
      <c r="M133" s="964">
        <v>0</v>
      </c>
      <c r="N133" s="964">
        <v>400</v>
      </c>
      <c r="O133" s="963">
        <v>5271</v>
      </c>
      <c r="P133" s="654" t="s">
        <v>811</v>
      </c>
      <c r="Q133" s="964">
        <v>0</v>
      </c>
      <c r="R133" s="964">
        <v>0</v>
      </c>
      <c r="S133" s="964"/>
    </row>
    <row r="134" spans="1:19" x14ac:dyDescent="0.2">
      <c r="A134" s="945">
        <v>4438</v>
      </c>
      <c r="B134" s="950" t="s">
        <v>133</v>
      </c>
      <c r="E134" s="964">
        <v>10812.94</v>
      </c>
      <c r="F134" s="964">
        <v>181</v>
      </c>
      <c r="G134" s="964">
        <v>722494</v>
      </c>
      <c r="H134" s="964">
        <v>452.52999999999975</v>
      </c>
      <c r="I134" s="964">
        <v>15423</v>
      </c>
      <c r="J134" s="832"/>
      <c r="K134" s="832"/>
      <c r="L134" s="964">
        <v>16860.52</v>
      </c>
      <c r="M134" s="964">
        <v>0</v>
      </c>
      <c r="N134" s="964">
        <v>180</v>
      </c>
      <c r="O134" s="963">
        <v>2074</v>
      </c>
      <c r="P134" s="654" t="s">
        <v>811</v>
      </c>
      <c r="Q134" s="964">
        <v>0</v>
      </c>
      <c r="R134" s="964">
        <v>0</v>
      </c>
      <c r="S134" s="964"/>
    </row>
    <row r="135" spans="1:19" x14ac:dyDescent="0.2">
      <c r="A135" s="947">
        <v>4852</v>
      </c>
      <c r="B135" s="950" t="s">
        <v>134</v>
      </c>
      <c r="E135" s="964">
        <v>14516.82</v>
      </c>
      <c r="F135" s="964">
        <v>243</v>
      </c>
      <c r="G135" s="964">
        <v>873864</v>
      </c>
      <c r="H135" s="964">
        <v>607.59000000000015</v>
      </c>
      <c r="I135" s="964">
        <v>26257</v>
      </c>
      <c r="J135" s="832"/>
      <c r="K135" s="832"/>
      <c r="L135" s="964">
        <v>719.6</v>
      </c>
      <c r="M135" s="964">
        <v>0</v>
      </c>
      <c r="N135" s="964">
        <v>242</v>
      </c>
      <c r="O135" s="963">
        <v>5221</v>
      </c>
      <c r="P135" s="654" t="s">
        <v>811</v>
      </c>
      <c r="Q135" s="964">
        <v>0</v>
      </c>
      <c r="R135" s="964">
        <v>0</v>
      </c>
      <c r="S135" s="964"/>
    </row>
    <row r="136" spans="1:19" x14ac:dyDescent="0.2">
      <c r="A136" s="945">
        <v>3176</v>
      </c>
      <c r="B136" s="950" t="s">
        <v>881</v>
      </c>
      <c r="E136" s="964">
        <v>36262.18</v>
      </c>
      <c r="F136" s="964">
        <v>607</v>
      </c>
      <c r="G136" s="964">
        <v>2341364</v>
      </c>
      <c r="H136" s="964">
        <v>1540.890675030676</v>
      </c>
      <c r="I136" s="964">
        <v>55700</v>
      </c>
      <c r="J136" s="832"/>
      <c r="K136" s="832"/>
      <c r="L136" s="964">
        <v>62055.66</v>
      </c>
      <c r="M136" s="964">
        <v>0</v>
      </c>
      <c r="N136" s="964">
        <v>607</v>
      </c>
      <c r="O136" s="963">
        <v>2606</v>
      </c>
      <c r="P136" s="654" t="s">
        <v>857</v>
      </c>
      <c r="Q136" s="964">
        <v>0</v>
      </c>
      <c r="R136" s="964">
        <v>0</v>
      </c>
      <c r="S136" s="964"/>
    </row>
    <row r="137" spans="1:19" x14ac:dyDescent="0.2">
      <c r="A137" s="945">
        <v>1846</v>
      </c>
      <c r="B137" s="950" t="s">
        <v>135</v>
      </c>
      <c r="E137" s="964">
        <v>15532.4</v>
      </c>
      <c r="F137" s="964">
        <v>260</v>
      </c>
      <c r="G137" s="964">
        <v>998157</v>
      </c>
      <c r="H137" s="964">
        <v>649.80000000000018</v>
      </c>
      <c r="I137" s="964">
        <v>51621</v>
      </c>
      <c r="J137" s="832"/>
      <c r="K137" s="832"/>
      <c r="L137" s="964">
        <v>27000.86</v>
      </c>
      <c r="M137" s="964">
        <v>0</v>
      </c>
      <c r="N137" s="964">
        <v>260</v>
      </c>
      <c r="O137" s="963">
        <v>2063</v>
      </c>
      <c r="P137" s="654" t="s">
        <v>811</v>
      </c>
      <c r="Q137" s="964">
        <v>0</v>
      </c>
      <c r="R137" s="964">
        <v>0</v>
      </c>
      <c r="S137" s="964"/>
    </row>
    <row r="138" spans="1:19" x14ac:dyDescent="0.2">
      <c r="A138" s="945">
        <v>1844</v>
      </c>
      <c r="B138" s="950" t="s">
        <v>136</v>
      </c>
      <c r="E138" s="964">
        <v>19654.46</v>
      </c>
      <c r="F138" s="964">
        <v>329</v>
      </c>
      <c r="G138" s="964">
        <v>1218488</v>
      </c>
      <c r="H138" s="964">
        <v>822.77000000000135</v>
      </c>
      <c r="I138" s="964">
        <v>0</v>
      </c>
      <c r="J138" s="832"/>
      <c r="K138" s="832"/>
      <c r="L138" s="964">
        <v>29762.67</v>
      </c>
      <c r="M138" s="964">
        <v>0</v>
      </c>
      <c r="N138" s="964">
        <v>329</v>
      </c>
      <c r="O138" s="963">
        <v>2062</v>
      </c>
      <c r="P138" s="654" t="s">
        <v>811</v>
      </c>
      <c r="Q138" s="964">
        <v>0</v>
      </c>
      <c r="R138" s="964">
        <v>0</v>
      </c>
      <c r="S138" s="964"/>
    </row>
    <row r="139" spans="1:19" x14ac:dyDescent="0.2">
      <c r="A139" s="945">
        <v>3402</v>
      </c>
      <c r="B139" s="950" t="s">
        <v>137</v>
      </c>
      <c r="E139" s="964">
        <v>11529.82</v>
      </c>
      <c r="F139" s="964">
        <v>193</v>
      </c>
      <c r="G139" s="964">
        <v>767003</v>
      </c>
      <c r="H139" s="964">
        <v>490.27166438372387</v>
      </c>
      <c r="I139" s="964">
        <v>16825</v>
      </c>
      <c r="J139" s="832"/>
      <c r="K139" s="832"/>
      <c r="L139" s="964">
        <v>2810.06</v>
      </c>
      <c r="M139" s="964">
        <v>0</v>
      </c>
      <c r="N139" s="964">
        <v>193</v>
      </c>
      <c r="O139" s="963">
        <v>3670</v>
      </c>
      <c r="P139" s="654" t="s">
        <v>857</v>
      </c>
      <c r="Q139" s="964">
        <v>0</v>
      </c>
      <c r="R139" s="964">
        <v>0</v>
      </c>
      <c r="S139" s="964"/>
    </row>
    <row r="140" spans="1:19" x14ac:dyDescent="0.2">
      <c r="A140" s="945">
        <v>1848</v>
      </c>
      <c r="B140" s="950" t="s">
        <v>138</v>
      </c>
      <c r="E140" s="964">
        <v>18698.62</v>
      </c>
      <c r="F140" s="964">
        <v>313</v>
      </c>
      <c r="G140" s="964">
        <v>1120407</v>
      </c>
      <c r="H140" s="964">
        <v>782.69000000000142</v>
      </c>
      <c r="I140" s="964">
        <v>24982</v>
      </c>
      <c r="J140" s="832"/>
      <c r="K140" s="832"/>
      <c r="L140" s="964">
        <v>33043.78</v>
      </c>
      <c r="M140" s="964">
        <v>0</v>
      </c>
      <c r="N140" s="964">
        <v>312</v>
      </c>
      <c r="O140" s="963">
        <v>2007</v>
      </c>
      <c r="P140" s="654" t="s">
        <v>811</v>
      </c>
      <c r="Q140" s="964">
        <v>0</v>
      </c>
      <c r="R140" s="964">
        <v>0</v>
      </c>
      <c r="S140" s="964"/>
    </row>
    <row r="141" spans="1:19" x14ac:dyDescent="0.2">
      <c r="A141" s="945">
        <v>3440</v>
      </c>
      <c r="B141" s="950" t="s">
        <v>139</v>
      </c>
      <c r="E141" s="964">
        <v>16070.060000000001</v>
      </c>
      <c r="F141" s="964">
        <v>269</v>
      </c>
      <c r="G141" s="964">
        <v>1014673</v>
      </c>
      <c r="H141" s="964">
        <v>683.47708662809146</v>
      </c>
      <c r="I141" s="964">
        <v>25747</v>
      </c>
      <c r="J141" s="832"/>
      <c r="K141" s="832"/>
      <c r="L141" s="964">
        <v>21536</v>
      </c>
      <c r="M141" s="964">
        <v>0</v>
      </c>
      <c r="N141" s="964">
        <v>269</v>
      </c>
      <c r="O141" s="963">
        <v>2733</v>
      </c>
      <c r="P141" s="654" t="s">
        <v>857</v>
      </c>
      <c r="Q141" s="964">
        <v>0</v>
      </c>
      <c r="R141" s="964">
        <v>0</v>
      </c>
      <c r="S141" s="964"/>
    </row>
    <row r="142" spans="1:19" x14ac:dyDescent="0.2">
      <c r="A142" s="945">
        <v>3456</v>
      </c>
      <c r="B142" s="950" t="s">
        <v>140</v>
      </c>
      <c r="E142" s="964">
        <v>9553.4216666666671</v>
      </c>
      <c r="F142" s="964">
        <v>159.91666666666666</v>
      </c>
      <c r="G142" s="964">
        <v>636165</v>
      </c>
      <c r="H142" s="964">
        <v>399.78916666666646</v>
      </c>
      <c r="I142" s="964">
        <v>13893</v>
      </c>
      <c r="J142" s="832"/>
      <c r="K142" s="832"/>
      <c r="L142" s="964">
        <v>2732</v>
      </c>
      <c r="M142" s="964">
        <v>0</v>
      </c>
      <c r="N142" s="964">
        <v>159.91666666666666</v>
      </c>
      <c r="O142" s="963">
        <v>2760</v>
      </c>
      <c r="P142" s="654" t="s">
        <v>811</v>
      </c>
      <c r="Q142" s="964">
        <v>0</v>
      </c>
      <c r="R142" s="964">
        <v>0</v>
      </c>
      <c r="S142" s="964"/>
    </row>
    <row r="143" spans="1:19" x14ac:dyDescent="0.2">
      <c r="A143" s="945">
        <v>1850</v>
      </c>
      <c r="B143" s="950" t="s">
        <v>141</v>
      </c>
      <c r="E143" s="964">
        <v>24672.620000000003</v>
      </c>
      <c r="F143" s="964">
        <v>413</v>
      </c>
      <c r="G143" s="964">
        <v>1493561</v>
      </c>
      <c r="H143" s="964">
        <v>1032.6899999999987</v>
      </c>
      <c r="I143" s="964">
        <v>29443</v>
      </c>
      <c r="J143" s="832"/>
      <c r="K143" s="832"/>
      <c r="L143" s="964">
        <v>19299.8</v>
      </c>
      <c r="M143" s="964">
        <v>0</v>
      </c>
      <c r="N143" s="964">
        <v>413</v>
      </c>
      <c r="O143" s="963">
        <v>2008</v>
      </c>
      <c r="P143" s="654" t="s">
        <v>811</v>
      </c>
      <c r="Q143" s="964">
        <v>0</v>
      </c>
      <c r="R143" s="964">
        <v>0</v>
      </c>
      <c r="S143" s="964"/>
    </row>
    <row r="144" spans="1:19" x14ac:dyDescent="0.2">
      <c r="A144" s="947">
        <v>4770</v>
      </c>
      <c r="B144" s="950" t="s">
        <v>142</v>
      </c>
      <c r="E144" s="964">
        <v>24911.58</v>
      </c>
      <c r="F144" s="964">
        <v>417</v>
      </c>
      <c r="G144" s="964">
        <v>1420734</v>
      </c>
      <c r="H144" s="964">
        <v>1058.8771194197543</v>
      </c>
      <c r="I144" s="964">
        <v>41424</v>
      </c>
      <c r="J144" s="832"/>
      <c r="K144" s="832"/>
      <c r="L144" s="964">
        <v>12161.51</v>
      </c>
      <c r="M144" s="964">
        <v>0</v>
      </c>
      <c r="N144" s="964">
        <v>417</v>
      </c>
      <c r="O144" s="963">
        <v>2004</v>
      </c>
      <c r="P144" s="654" t="s">
        <v>857</v>
      </c>
      <c r="Q144" s="964">
        <v>0</v>
      </c>
      <c r="R144" s="964">
        <v>0</v>
      </c>
      <c r="S144" s="964"/>
    </row>
    <row r="145" spans="1:19" x14ac:dyDescent="0.2">
      <c r="A145" s="945">
        <v>1784</v>
      </c>
      <c r="B145" s="950" t="s">
        <v>143</v>
      </c>
      <c r="E145" s="964">
        <v>21028.48</v>
      </c>
      <c r="F145" s="964">
        <v>352</v>
      </c>
      <c r="G145" s="964">
        <v>1709643</v>
      </c>
      <c r="H145" s="964">
        <v>879.76000000000022</v>
      </c>
      <c r="I145" s="964">
        <v>53278</v>
      </c>
      <c r="J145" s="832"/>
      <c r="K145" s="832"/>
      <c r="L145" s="964">
        <v>31575.97</v>
      </c>
      <c r="M145" s="964">
        <v>237430</v>
      </c>
      <c r="N145" s="964">
        <v>352</v>
      </c>
      <c r="O145" s="963">
        <v>2027</v>
      </c>
      <c r="P145" s="654" t="s">
        <v>811</v>
      </c>
      <c r="Q145" s="964">
        <v>0</v>
      </c>
      <c r="R145" s="964">
        <v>0</v>
      </c>
      <c r="S145" s="964"/>
    </row>
    <row r="146" spans="1:19" x14ac:dyDescent="0.2">
      <c r="A146" s="945">
        <v>1852</v>
      </c>
      <c r="B146" s="950" t="s">
        <v>144</v>
      </c>
      <c r="E146" s="964">
        <v>12605.140000000001</v>
      </c>
      <c r="F146" s="964">
        <v>211</v>
      </c>
      <c r="G146" s="964">
        <v>849749</v>
      </c>
      <c r="H146" s="964">
        <v>527.42999999999938</v>
      </c>
      <c r="I146" s="964">
        <v>17335</v>
      </c>
      <c r="J146" s="832"/>
      <c r="K146" s="832"/>
      <c r="L146" s="964">
        <v>24316.91</v>
      </c>
      <c r="M146" s="964">
        <v>0</v>
      </c>
      <c r="N146" s="964">
        <v>210</v>
      </c>
      <c r="O146" s="963">
        <v>2010</v>
      </c>
      <c r="P146" s="654" t="s">
        <v>811</v>
      </c>
      <c r="Q146" s="964">
        <v>0</v>
      </c>
      <c r="R146" s="964">
        <v>0</v>
      </c>
      <c r="S146" s="964"/>
    </row>
    <row r="147" spans="1:19" x14ac:dyDescent="0.2">
      <c r="A147" s="945">
        <v>1854</v>
      </c>
      <c r="B147" s="950" t="s">
        <v>145</v>
      </c>
      <c r="E147" s="964">
        <v>12545.4</v>
      </c>
      <c r="F147" s="964">
        <v>210</v>
      </c>
      <c r="G147" s="964">
        <v>869383</v>
      </c>
      <c r="H147" s="964">
        <v>525.30000000000018</v>
      </c>
      <c r="I147" s="964">
        <v>16570</v>
      </c>
      <c r="J147" s="832"/>
      <c r="K147" s="832"/>
      <c r="L147" s="964">
        <v>20087.919999999998</v>
      </c>
      <c r="M147" s="964">
        <v>0</v>
      </c>
      <c r="N147" s="964">
        <v>210</v>
      </c>
      <c r="O147" s="963">
        <v>3040</v>
      </c>
      <c r="P147" s="654" t="s">
        <v>811</v>
      </c>
      <c r="Q147" s="964">
        <v>0</v>
      </c>
      <c r="R147" s="964">
        <v>0</v>
      </c>
      <c r="S147" s="964"/>
    </row>
    <row r="148" spans="1:19" x14ac:dyDescent="0.2">
      <c r="A148" s="945">
        <v>1858</v>
      </c>
      <c r="B148" s="950" t="s">
        <v>146</v>
      </c>
      <c r="E148" s="964">
        <v>10753.2</v>
      </c>
      <c r="F148" s="964">
        <v>180</v>
      </c>
      <c r="G148" s="964">
        <v>716661</v>
      </c>
      <c r="H148" s="964">
        <v>450.39999999999964</v>
      </c>
      <c r="I148" s="964">
        <v>40277</v>
      </c>
      <c r="J148" s="832"/>
      <c r="K148" s="832"/>
      <c r="L148" s="964">
        <v>16962.03</v>
      </c>
      <c r="M148" s="964">
        <v>0</v>
      </c>
      <c r="N148" s="964">
        <v>180</v>
      </c>
      <c r="O148" s="963">
        <v>2056</v>
      </c>
      <c r="P148" s="654" t="s">
        <v>811</v>
      </c>
      <c r="Q148" s="964">
        <v>0</v>
      </c>
      <c r="R148" s="964">
        <v>0</v>
      </c>
      <c r="S148" s="964"/>
    </row>
    <row r="149" spans="1:19" x14ac:dyDescent="0.2">
      <c r="A149" s="945">
        <v>1856</v>
      </c>
      <c r="B149" s="950" t="s">
        <v>147</v>
      </c>
      <c r="E149" s="964">
        <v>15293.44</v>
      </c>
      <c r="F149" s="964">
        <v>256</v>
      </c>
      <c r="G149" s="964">
        <v>949851</v>
      </c>
      <c r="H149" s="964">
        <v>640.27999999999975</v>
      </c>
      <c r="I149" s="964">
        <v>0</v>
      </c>
      <c r="J149" s="832"/>
      <c r="K149" s="832"/>
      <c r="L149" s="964">
        <v>14578.99</v>
      </c>
      <c r="M149" s="964">
        <v>0</v>
      </c>
      <c r="N149" s="964">
        <v>256</v>
      </c>
      <c r="O149" s="963">
        <v>2055</v>
      </c>
      <c r="P149" s="654" t="s">
        <v>811</v>
      </c>
      <c r="Q149" s="964">
        <v>0</v>
      </c>
      <c r="R149" s="964">
        <v>0</v>
      </c>
      <c r="S149" s="964"/>
    </row>
    <row r="150" spans="1:19" x14ac:dyDescent="0.2">
      <c r="A150" s="945">
        <v>1240</v>
      </c>
      <c r="B150" s="950" t="s">
        <v>148</v>
      </c>
      <c r="E150" s="964">
        <v>11051.9</v>
      </c>
      <c r="F150" s="964">
        <v>185</v>
      </c>
      <c r="G150" s="964">
        <v>667707</v>
      </c>
      <c r="H150" s="964">
        <v>462.05000000000018</v>
      </c>
      <c r="I150" s="964">
        <v>17080</v>
      </c>
      <c r="J150" s="832"/>
      <c r="K150" s="832"/>
      <c r="L150" s="964">
        <v>-34280.35</v>
      </c>
      <c r="M150" s="964">
        <v>0</v>
      </c>
      <c r="N150" s="964">
        <v>184</v>
      </c>
      <c r="O150" s="963">
        <v>2799</v>
      </c>
      <c r="P150" s="654" t="s">
        <v>811</v>
      </c>
      <c r="Q150" s="964">
        <v>0</v>
      </c>
      <c r="R150" s="964">
        <v>0</v>
      </c>
      <c r="S150" s="964"/>
    </row>
    <row r="151" spans="1:19" x14ac:dyDescent="0.2">
      <c r="A151" s="945">
        <v>1888</v>
      </c>
      <c r="B151" s="950" t="s">
        <v>149</v>
      </c>
      <c r="E151" s="964">
        <v>23597.3</v>
      </c>
      <c r="F151" s="964">
        <v>395</v>
      </c>
      <c r="G151" s="964">
        <v>1421412</v>
      </c>
      <c r="H151" s="964">
        <v>987.35000000000036</v>
      </c>
      <c r="I151" s="964">
        <v>33140</v>
      </c>
      <c r="J151" s="832"/>
      <c r="K151" s="832"/>
      <c r="L151" s="964">
        <v>51050.11</v>
      </c>
      <c r="M151" s="964">
        <v>0</v>
      </c>
      <c r="N151" s="964">
        <v>392</v>
      </c>
      <c r="O151" s="963">
        <v>3839</v>
      </c>
      <c r="P151" s="654" t="s">
        <v>811</v>
      </c>
      <c r="Q151" s="964">
        <v>0</v>
      </c>
      <c r="R151" s="964">
        <v>0</v>
      </c>
      <c r="S151" s="964"/>
    </row>
    <row r="152" spans="1:19" x14ac:dyDescent="0.2">
      <c r="A152" s="945">
        <v>1258</v>
      </c>
      <c r="B152" s="950" t="s">
        <v>150</v>
      </c>
      <c r="E152" s="964">
        <v>10753.2</v>
      </c>
      <c r="F152" s="964">
        <v>180</v>
      </c>
      <c r="G152" s="964">
        <v>695452</v>
      </c>
      <c r="H152" s="964">
        <v>457.48652636823954</v>
      </c>
      <c r="I152" s="964">
        <v>40405</v>
      </c>
      <c r="J152" s="832"/>
      <c r="K152" s="832"/>
      <c r="L152" s="964">
        <v>2110.14</v>
      </c>
      <c r="M152" s="964">
        <v>0</v>
      </c>
      <c r="N152" s="964">
        <v>180</v>
      </c>
      <c r="O152" s="963">
        <v>2541</v>
      </c>
      <c r="P152" s="654" t="s">
        <v>857</v>
      </c>
      <c r="Q152" s="964">
        <v>0</v>
      </c>
      <c r="R152" s="964">
        <v>0</v>
      </c>
      <c r="S152" s="964"/>
    </row>
    <row r="153" spans="1:19" x14ac:dyDescent="0.2">
      <c r="A153" s="945">
        <v>1256</v>
      </c>
      <c r="B153" s="950" t="s">
        <v>151</v>
      </c>
      <c r="E153" s="964">
        <v>15532.4</v>
      </c>
      <c r="F153" s="964">
        <v>260</v>
      </c>
      <c r="G153" s="964">
        <v>942830</v>
      </c>
      <c r="H153" s="964">
        <v>659.70276030968034</v>
      </c>
      <c r="I153" s="964">
        <v>0</v>
      </c>
      <c r="J153" s="832">
        <v>0</v>
      </c>
      <c r="K153" s="832">
        <v>0</v>
      </c>
      <c r="L153" s="964">
        <v>2639.55</v>
      </c>
      <c r="M153" s="964">
        <v>0</v>
      </c>
      <c r="N153" s="964">
        <v>260</v>
      </c>
      <c r="O153" s="963">
        <v>2181</v>
      </c>
      <c r="P153" s="654" t="s">
        <v>857</v>
      </c>
      <c r="Q153" s="964">
        <v>0</v>
      </c>
      <c r="R153" s="964">
        <v>0</v>
      </c>
      <c r="S153" s="964"/>
    </row>
    <row r="154" spans="1:19" x14ac:dyDescent="0.2">
      <c r="A154" s="945">
        <v>3670</v>
      </c>
      <c r="B154" s="950" t="s">
        <v>152</v>
      </c>
      <c r="E154" s="964">
        <v>7646.72</v>
      </c>
      <c r="F154" s="964">
        <v>128</v>
      </c>
      <c r="G154" s="964">
        <v>535200</v>
      </c>
      <c r="H154" s="964">
        <v>319.63999999999987</v>
      </c>
      <c r="I154" s="964">
        <v>15423</v>
      </c>
      <c r="J154" s="832"/>
      <c r="K154" s="832"/>
      <c r="L154" s="964">
        <v>2458.9499999999998</v>
      </c>
      <c r="M154" s="964">
        <v>0</v>
      </c>
      <c r="N154" s="964">
        <v>128</v>
      </c>
      <c r="O154" s="963">
        <v>3730</v>
      </c>
      <c r="P154" s="654" t="s">
        <v>811</v>
      </c>
      <c r="Q154" s="964">
        <v>0</v>
      </c>
      <c r="R154" s="964">
        <v>0</v>
      </c>
      <c r="S154" s="964"/>
    </row>
    <row r="155" spans="1:19" x14ac:dyDescent="0.2">
      <c r="A155" s="945">
        <v>3750</v>
      </c>
      <c r="B155" s="950" t="s">
        <v>153</v>
      </c>
      <c r="E155" s="964">
        <v>8483.08</v>
      </c>
      <c r="F155" s="964">
        <v>142</v>
      </c>
      <c r="G155" s="964">
        <v>593022</v>
      </c>
      <c r="H155" s="964">
        <v>355.46000000000004</v>
      </c>
      <c r="I155" s="964">
        <v>14658</v>
      </c>
      <c r="J155" s="832"/>
      <c r="K155" s="832"/>
      <c r="L155" s="964">
        <v>16245.16</v>
      </c>
      <c r="M155" s="964">
        <v>0</v>
      </c>
      <c r="N155" s="964">
        <v>141</v>
      </c>
      <c r="O155" s="963">
        <v>2460</v>
      </c>
      <c r="P155" s="654" t="s">
        <v>811</v>
      </c>
      <c r="Q155" s="964">
        <v>0</v>
      </c>
      <c r="R155" s="964">
        <v>0</v>
      </c>
      <c r="S155" s="964"/>
    </row>
    <row r="156" spans="1:19" x14ac:dyDescent="0.2">
      <c r="A156" s="945">
        <v>3758</v>
      </c>
      <c r="B156" s="950" t="s">
        <v>154</v>
      </c>
      <c r="E156" s="964">
        <v>6212.96</v>
      </c>
      <c r="F156" s="964">
        <v>104</v>
      </c>
      <c r="G156" s="964">
        <v>477162</v>
      </c>
      <c r="H156" s="964">
        <v>259.52</v>
      </c>
      <c r="I156" s="964">
        <v>10834</v>
      </c>
      <c r="J156" s="832"/>
      <c r="K156" s="832"/>
      <c r="L156" s="964">
        <v>16796</v>
      </c>
      <c r="M156" s="964">
        <v>0</v>
      </c>
      <c r="N156" s="964">
        <v>104</v>
      </c>
      <c r="O156" s="963">
        <v>3247</v>
      </c>
      <c r="P156" s="654" t="s">
        <v>811</v>
      </c>
      <c r="Q156" s="964">
        <v>0</v>
      </c>
      <c r="R156" s="964">
        <v>0</v>
      </c>
      <c r="S156" s="964"/>
    </row>
    <row r="157" spans="1:19" x14ac:dyDescent="0.2">
      <c r="A157" s="945">
        <v>2975</v>
      </c>
      <c r="B157" s="950" t="s">
        <v>155</v>
      </c>
      <c r="E157" s="964">
        <v>18041.48</v>
      </c>
      <c r="F157" s="964">
        <v>302</v>
      </c>
      <c r="G157" s="964">
        <v>1056625</v>
      </c>
      <c r="H157" s="964">
        <v>755.26000000000113</v>
      </c>
      <c r="I157" s="964">
        <v>27914</v>
      </c>
      <c r="J157" s="832"/>
      <c r="K157" s="832"/>
      <c r="L157" s="964">
        <v>-1611.6</v>
      </c>
      <c r="M157" s="964">
        <v>0</v>
      </c>
      <c r="N157" s="964">
        <v>301</v>
      </c>
      <c r="O157" s="963">
        <v>3840</v>
      </c>
      <c r="P157" s="654" t="s">
        <v>811</v>
      </c>
      <c r="Q157" s="964">
        <v>0</v>
      </c>
      <c r="R157" s="964">
        <v>0</v>
      </c>
      <c r="S157" s="964"/>
    </row>
    <row r="158" spans="1:19" x14ac:dyDescent="0.2">
      <c r="A158" s="945">
        <v>1860</v>
      </c>
      <c r="B158" s="950" t="s">
        <v>156</v>
      </c>
      <c r="E158" s="964">
        <v>12186.960000000001</v>
      </c>
      <c r="F158" s="964">
        <v>204</v>
      </c>
      <c r="G158" s="964">
        <v>892438</v>
      </c>
      <c r="H158" s="964">
        <v>509.51999999999953</v>
      </c>
      <c r="I158" s="964">
        <v>15423</v>
      </c>
      <c r="J158" s="832"/>
      <c r="K158" s="832"/>
      <c r="L158" s="964">
        <v>24062.42</v>
      </c>
      <c r="M158" s="964">
        <v>0</v>
      </c>
      <c r="N158" s="964">
        <v>204</v>
      </c>
      <c r="O158" s="963">
        <v>2317</v>
      </c>
      <c r="P158" s="654" t="s">
        <v>811</v>
      </c>
      <c r="Q158" s="964">
        <v>0</v>
      </c>
      <c r="R158" s="964">
        <v>0</v>
      </c>
      <c r="S158" s="964"/>
    </row>
    <row r="159" spans="1:19" x14ac:dyDescent="0.2">
      <c r="A159" s="947">
        <v>3810</v>
      </c>
      <c r="B159" s="950" t="s">
        <v>157</v>
      </c>
      <c r="E159" s="964">
        <v>14038.9</v>
      </c>
      <c r="F159" s="964">
        <v>235</v>
      </c>
      <c r="G159" s="964">
        <v>866425</v>
      </c>
      <c r="H159" s="964">
        <v>587.55000000000018</v>
      </c>
      <c r="I159" s="964">
        <v>24218</v>
      </c>
      <c r="J159" s="832"/>
      <c r="K159" s="832"/>
      <c r="L159" s="964">
        <v>4679.0200000000004</v>
      </c>
      <c r="M159" s="964">
        <v>0</v>
      </c>
      <c r="N159" s="964">
        <v>235</v>
      </c>
      <c r="O159" s="963">
        <v>5226</v>
      </c>
      <c r="P159" s="654" t="s">
        <v>811</v>
      </c>
      <c r="Q159" s="964">
        <v>0</v>
      </c>
      <c r="R159" s="964">
        <v>0</v>
      </c>
      <c r="S159" s="964"/>
    </row>
    <row r="160" spans="1:19" x14ac:dyDescent="0.2">
      <c r="A160" s="945">
        <v>3826</v>
      </c>
      <c r="B160" s="950" t="s">
        <v>158</v>
      </c>
      <c r="E160" s="964">
        <v>6033.74</v>
      </c>
      <c r="F160" s="964">
        <v>101</v>
      </c>
      <c r="G160" s="964">
        <v>435037</v>
      </c>
      <c r="H160" s="964">
        <v>252.13000000000011</v>
      </c>
      <c r="I160" s="964">
        <v>8923</v>
      </c>
      <c r="J160" s="832"/>
      <c r="K160" s="832"/>
      <c r="L160" s="964">
        <v>-26807.98</v>
      </c>
      <c r="M160" s="964">
        <v>0</v>
      </c>
      <c r="N160" s="964">
        <v>101</v>
      </c>
      <c r="O160" s="963">
        <v>3222</v>
      </c>
      <c r="P160" s="654" t="s">
        <v>811</v>
      </c>
      <c r="Q160" s="964">
        <v>0</v>
      </c>
      <c r="R160" s="964">
        <v>0</v>
      </c>
      <c r="S160" s="964"/>
    </row>
    <row r="161" spans="1:19" x14ac:dyDescent="0.2">
      <c r="A161" s="945">
        <v>3908</v>
      </c>
      <c r="B161" s="950" t="s">
        <v>159</v>
      </c>
      <c r="E161" s="964">
        <v>6033.74</v>
      </c>
      <c r="F161" s="964">
        <v>101</v>
      </c>
      <c r="G161" s="964">
        <v>475369</v>
      </c>
      <c r="H161" s="964">
        <v>256.02299535106795</v>
      </c>
      <c r="I161" s="964">
        <v>7775</v>
      </c>
      <c r="J161" s="832"/>
      <c r="K161" s="832"/>
      <c r="L161" s="964">
        <v>8986.18</v>
      </c>
      <c r="M161" s="964">
        <v>0</v>
      </c>
      <c r="N161" s="964">
        <v>101</v>
      </c>
      <c r="O161" s="963">
        <v>3131</v>
      </c>
      <c r="P161" s="654" t="s">
        <v>857</v>
      </c>
      <c r="Q161" s="964">
        <v>0</v>
      </c>
      <c r="R161" s="964">
        <v>0</v>
      </c>
      <c r="S161" s="964"/>
    </row>
    <row r="162" spans="1:19" x14ac:dyDescent="0.2">
      <c r="A162" s="945">
        <v>1262</v>
      </c>
      <c r="B162" s="950" t="s">
        <v>160</v>
      </c>
      <c r="E162" s="964">
        <v>10872.68</v>
      </c>
      <c r="F162" s="964">
        <v>182</v>
      </c>
      <c r="G162" s="964">
        <v>719709</v>
      </c>
      <c r="H162" s="964">
        <v>461.99193221677615</v>
      </c>
      <c r="I162" s="964">
        <v>36708</v>
      </c>
      <c r="J162" s="832"/>
      <c r="K162" s="832"/>
      <c r="L162" s="964">
        <v>2106.56</v>
      </c>
      <c r="M162" s="964">
        <v>0</v>
      </c>
      <c r="N162" s="964">
        <v>182</v>
      </c>
      <c r="O162" s="963">
        <v>2911</v>
      </c>
      <c r="P162" s="654" t="s">
        <v>857</v>
      </c>
      <c r="Q162" s="964">
        <v>0</v>
      </c>
      <c r="R162" s="964">
        <v>0</v>
      </c>
      <c r="S162" s="964"/>
    </row>
    <row r="163" spans="1:19" x14ac:dyDescent="0.2">
      <c r="A163" s="945">
        <v>1260</v>
      </c>
      <c r="B163" s="950" t="s">
        <v>161</v>
      </c>
      <c r="E163" s="964">
        <v>14098.640000000001</v>
      </c>
      <c r="F163" s="964">
        <v>236</v>
      </c>
      <c r="G163" s="964">
        <v>889310</v>
      </c>
      <c r="H163" s="964">
        <v>599.63789012724737</v>
      </c>
      <c r="I163" s="964">
        <v>0</v>
      </c>
      <c r="J163" s="832"/>
      <c r="K163" s="832"/>
      <c r="L163" s="964">
        <v>4363.58</v>
      </c>
      <c r="M163" s="964">
        <v>0</v>
      </c>
      <c r="N163" s="964">
        <v>236</v>
      </c>
      <c r="O163" s="963">
        <v>2681</v>
      </c>
      <c r="P163" s="654" t="s">
        <v>857</v>
      </c>
      <c r="Q163" s="964">
        <v>0</v>
      </c>
      <c r="R163" s="964">
        <v>0</v>
      </c>
      <c r="S163" s="964"/>
    </row>
    <row r="164" spans="1:19" x14ac:dyDescent="0.2">
      <c r="A164" s="945">
        <v>4132</v>
      </c>
      <c r="B164" s="950" t="s">
        <v>162</v>
      </c>
      <c r="E164" s="964">
        <v>21028.48</v>
      </c>
      <c r="F164" s="964">
        <v>352</v>
      </c>
      <c r="G164" s="964">
        <v>1209982</v>
      </c>
      <c r="H164" s="964">
        <v>893.95142934233627</v>
      </c>
      <c r="I164" s="964">
        <v>41170</v>
      </c>
      <c r="J164" s="832"/>
      <c r="K164" s="832"/>
      <c r="L164" s="964">
        <v>5460.6</v>
      </c>
      <c r="M164" s="964">
        <v>0</v>
      </c>
      <c r="N164" s="964">
        <v>352</v>
      </c>
      <c r="O164" s="963">
        <v>3462</v>
      </c>
      <c r="P164" s="654" t="s">
        <v>857</v>
      </c>
      <c r="Q164" s="964">
        <v>0</v>
      </c>
      <c r="R164" s="964">
        <v>0</v>
      </c>
      <c r="S164" s="964"/>
    </row>
    <row r="165" spans="1:19" x14ac:dyDescent="0.2">
      <c r="A165" s="945">
        <v>2846</v>
      </c>
      <c r="B165" s="950" t="s">
        <v>163</v>
      </c>
      <c r="E165" s="964">
        <v>20251.86</v>
      </c>
      <c r="F165" s="964">
        <v>339</v>
      </c>
      <c r="G165" s="964">
        <v>1360545</v>
      </c>
      <c r="H165" s="964">
        <v>847.06999999999971</v>
      </c>
      <c r="I165" s="964">
        <v>17717</v>
      </c>
      <c r="J165" s="832"/>
      <c r="K165" s="832"/>
      <c r="L165" s="964">
        <v>18471.3</v>
      </c>
      <c r="M165" s="964">
        <v>0</v>
      </c>
      <c r="N165" s="964">
        <v>333</v>
      </c>
      <c r="O165" s="963">
        <v>2374</v>
      </c>
      <c r="P165" s="654" t="s">
        <v>811</v>
      </c>
      <c r="Q165" s="964">
        <v>0</v>
      </c>
      <c r="R165" s="964">
        <v>0</v>
      </c>
      <c r="S165" s="964"/>
    </row>
    <row r="166" spans="1:19" x14ac:dyDescent="0.2">
      <c r="A166" s="945">
        <v>1673</v>
      </c>
      <c r="B166" s="950" t="s">
        <v>164</v>
      </c>
      <c r="E166" s="964">
        <v>24911.58</v>
      </c>
      <c r="F166" s="964">
        <v>417</v>
      </c>
      <c r="G166" s="964">
        <v>1470351</v>
      </c>
      <c r="H166" s="964">
        <v>1042.2099999999991</v>
      </c>
      <c r="I166" s="964">
        <v>31100</v>
      </c>
      <c r="J166" s="832"/>
      <c r="K166" s="832"/>
      <c r="L166" s="964">
        <v>44784.32</v>
      </c>
      <c r="M166" s="964">
        <v>0</v>
      </c>
      <c r="N166" s="964">
        <v>417</v>
      </c>
      <c r="O166" s="963">
        <v>2020</v>
      </c>
      <c r="P166" s="654" t="s">
        <v>811</v>
      </c>
      <c r="Q166" s="964">
        <v>0</v>
      </c>
      <c r="R166" s="964">
        <v>0</v>
      </c>
      <c r="S166" s="964"/>
    </row>
    <row r="167" spans="1:19" x14ac:dyDescent="0.2">
      <c r="A167" s="947">
        <v>2888</v>
      </c>
      <c r="B167" s="950" t="s">
        <v>831</v>
      </c>
      <c r="E167" s="964">
        <v>13262.28</v>
      </c>
      <c r="F167" s="964">
        <v>222</v>
      </c>
      <c r="G167" s="964">
        <v>841776</v>
      </c>
      <c r="H167" s="964">
        <v>554.85999999999967</v>
      </c>
      <c r="I167" s="964">
        <v>0</v>
      </c>
      <c r="J167" s="832"/>
      <c r="K167" s="832"/>
      <c r="L167" s="964">
        <v>4643.6000000000004</v>
      </c>
      <c r="M167" s="964">
        <v>0</v>
      </c>
      <c r="N167" s="964">
        <v>222</v>
      </c>
      <c r="O167" s="963">
        <v>5279</v>
      </c>
      <c r="P167" s="654" t="s">
        <v>811</v>
      </c>
      <c r="Q167" s="964">
        <v>0</v>
      </c>
      <c r="R167" s="964">
        <v>0</v>
      </c>
      <c r="S167" s="964"/>
    </row>
    <row r="168" spans="1:19" x14ac:dyDescent="0.2">
      <c r="A168" s="945">
        <v>3362</v>
      </c>
      <c r="B168" s="950" t="s">
        <v>165</v>
      </c>
      <c r="E168" s="964">
        <v>10096.06</v>
      </c>
      <c r="F168" s="964">
        <v>169</v>
      </c>
      <c r="G168" s="964">
        <v>633414</v>
      </c>
      <c r="H168" s="964">
        <v>422.97000000000071</v>
      </c>
      <c r="I168" s="964">
        <v>12874</v>
      </c>
      <c r="J168" s="832"/>
      <c r="K168" s="832"/>
      <c r="L168" s="964">
        <v>-20569.62</v>
      </c>
      <c r="M168" s="964">
        <v>0</v>
      </c>
      <c r="N168" s="964">
        <v>169</v>
      </c>
      <c r="O168" s="963">
        <v>3027</v>
      </c>
      <c r="P168" s="654" t="s">
        <v>811</v>
      </c>
      <c r="Q168" s="964">
        <v>0</v>
      </c>
      <c r="R168" s="964">
        <v>0</v>
      </c>
      <c r="S168" s="964"/>
    </row>
    <row r="169" spans="1:19" x14ac:dyDescent="0.2">
      <c r="A169" s="947">
        <v>3464</v>
      </c>
      <c r="B169" s="950" t="s">
        <v>864</v>
      </c>
      <c r="E169" s="964">
        <v>18743.424999999999</v>
      </c>
      <c r="F169" s="964">
        <v>313.75</v>
      </c>
      <c r="G169" s="964">
        <v>1164015</v>
      </c>
      <c r="H169" s="964">
        <v>796.41054248908586</v>
      </c>
      <c r="I169" s="964">
        <v>32120</v>
      </c>
      <c r="J169" s="832"/>
      <c r="K169" s="832"/>
      <c r="L169" s="964">
        <v>8053.08</v>
      </c>
      <c r="M169" s="964">
        <v>0</v>
      </c>
      <c r="N169" s="964">
        <v>313.75</v>
      </c>
      <c r="O169" s="963">
        <v>5241</v>
      </c>
      <c r="P169" s="654" t="s">
        <v>857</v>
      </c>
      <c r="Q169" s="964">
        <v>0</v>
      </c>
      <c r="R169" s="964">
        <v>0</v>
      </c>
      <c r="S169" s="964"/>
    </row>
    <row r="170" spans="1:19" x14ac:dyDescent="0.2">
      <c r="A170" s="945">
        <v>1148</v>
      </c>
      <c r="B170" s="950" t="s">
        <v>166</v>
      </c>
      <c r="E170" s="964">
        <v>10932.42</v>
      </c>
      <c r="F170" s="964">
        <v>183</v>
      </c>
      <c r="G170" s="964">
        <v>803707</v>
      </c>
      <c r="H170" s="964">
        <v>464.74463514104355</v>
      </c>
      <c r="I170" s="964">
        <v>40022</v>
      </c>
      <c r="J170" s="832"/>
      <c r="K170" s="832"/>
      <c r="L170" s="964">
        <v>3972.6</v>
      </c>
      <c r="M170" s="964">
        <v>0</v>
      </c>
      <c r="N170" s="964">
        <v>181</v>
      </c>
      <c r="O170" s="963">
        <v>3451</v>
      </c>
      <c r="P170" s="654" t="s">
        <v>857</v>
      </c>
      <c r="Q170" s="964">
        <v>0</v>
      </c>
      <c r="R170" s="964">
        <v>0</v>
      </c>
      <c r="S170" s="964"/>
    </row>
    <row r="171" spans="1:19" x14ac:dyDescent="0.2">
      <c r="A171" s="945">
        <v>1146</v>
      </c>
      <c r="B171" s="950" t="s">
        <v>167</v>
      </c>
      <c r="E171" s="964">
        <v>14397.34</v>
      </c>
      <c r="F171" s="964">
        <v>241</v>
      </c>
      <c r="G171" s="964">
        <v>996712</v>
      </c>
      <c r="H171" s="964">
        <v>612.40140474858799</v>
      </c>
      <c r="I171" s="964">
        <v>0</v>
      </c>
      <c r="J171" s="832"/>
      <c r="K171" s="832"/>
      <c r="L171" s="964">
        <v>5958.91</v>
      </c>
      <c r="M171" s="964">
        <v>0</v>
      </c>
      <c r="N171" s="964">
        <v>241</v>
      </c>
      <c r="O171" s="963">
        <v>3431</v>
      </c>
      <c r="P171" s="654" t="s">
        <v>857</v>
      </c>
      <c r="Q171" s="964">
        <v>0</v>
      </c>
      <c r="R171" s="964">
        <v>0</v>
      </c>
      <c r="S171" s="964"/>
    </row>
    <row r="172" spans="1:19" x14ac:dyDescent="0.2">
      <c r="A172" s="945">
        <v>1380</v>
      </c>
      <c r="B172" s="950" t="s">
        <v>168</v>
      </c>
      <c r="E172" s="964">
        <v>11649.300000000001</v>
      </c>
      <c r="F172" s="964">
        <v>195</v>
      </c>
      <c r="G172" s="964">
        <v>784043</v>
      </c>
      <c r="H172" s="964">
        <v>487.34999999999945</v>
      </c>
      <c r="I172" s="964">
        <v>18354</v>
      </c>
      <c r="J172" s="832"/>
      <c r="K172" s="832"/>
      <c r="L172" s="964">
        <v>4207.9799999999996</v>
      </c>
      <c r="M172" s="964">
        <v>0</v>
      </c>
      <c r="N172" s="964">
        <v>195</v>
      </c>
      <c r="O172" s="963">
        <v>3790</v>
      </c>
      <c r="P172" s="654" t="s">
        <v>811</v>
      </c>
      <c r="Q172" s="964">
        <v>0</v>
      </c>
      <c r="R172" s="964">
        <v>0</v>
      </c>
      <c r="S172" s="964"/>
    </row>
    <row r="173" spans="1:19" x14ac:dyDescent="0.2">
      <c r="A173" s="945">
        <v>3338</v>
      </c>
      <c r="B173" s="950" t="s">
        <v>169</v>
      </c>
      <c r="E173" s="964">
        <v>11888.26</v>
      </c>
      <c r="F173" s="964">
        <v>199</v>
      </c>
      <c r="G173" s="964">
        <v>765338</v>
      </c>
      <c r="H173" s="964">
        <v>497.86999999999989</v>
      </c>
      <c r="I173" s="964">
        <v>19374</v>
      </c>
      <c r="J173" s="832"/>
      <c r="K173" s="832"/>
      <c r="L173" s="964">
        <v>2988</v>
      </c>
      <c r="M173" s="964">
        <v>0</v>
      </c>
      <c r="N173" s="964">
        <v>199</v>
      </c>
      <c r="O173" s="963">
        <v>3811</v>
      </c>
      <c r="P173" s="654" t="s">
        <v>811</v>
      </c>
      <c r="Q173" s="964">
        <v>0</v>
      </c>
      <c r="R173" s="964">
        <v>0</v>
      </c>
      <c r="S173" s="964"/>
    </row>
    <row r="174" spans="1:19" x14ac:dyDescent="0.2">
      <c r="A174" s="945">
        <v>1872</v>
      </c>
      <c r="B174" s="950" t="s">
        <v>170</v>
      </c>
      <c r="E174" s="964">
        <v>15771.36</v>
      </c>
      <c r="F174" s="964">
        <v>264</v>
      </c>
      <c r="G174" s="964">
        <v>1059275</v>
      </c>
      <c r="H174" s="964">
        <v>660.31999999999971</v>
      </c>
      <c r="I174" s="964">
        <v>46140</v>
      </c>
      <c r="J174" s="832"/>
      <c r="K174" s="832"/>
      <c r="L174" s="964">
        <v>23461.64</v>
      </c>
      <c r="M174" s="964">
        <v>0</v>
      </c>
      <c r="N174" s="964">
        <v>264</v>
      </c>
      <c r="O174" s="963">
        <v>2002</v>
      </c>
      <c r="P174" s="654" t="s">
        <v>811</v>
      </c>
      <c r="Q174" s="964">
        <v>0</v>
      </c>
      <c r="R174" s="964">
        <v>0</v>
      </c>
      <c r="S174" s="964"/>
    </row>
    <row r="175" spans="1:19" x14ac:dyDescent="0.2">
      <c r="A175" s="945">
        <v>1870</v>
      </c>
      <c r="B175" s="950" t="s">
        <v>171</v>
      </c>
      <c r="E175" s="964">
        <v>21267.440000000002</v>
      </c>
      <c r="F175" s="964">
        <v>356</v>
      </c>
      <c r="G175" s="964">
        <v>1379141</v>
      </c>
      <c r="H175" s="964">
        <v>890.27999999999884</v>
      </c>
      <c r="I175" s="964">
        <v>0</v>
      </c>
      <c r="J175" s="832"/>
      <c r="K175" s="832"/>
      <c r="L175" s="964">
        <v>18977.5</v>
      </c>
      <c r="M175" s="964">
        <v>0</v>
      </c>
      <c r="N175" s="964">
        <v>356</v>
      </c>
      <c r="O175" s="963">
        <v>2001</v>
      </c>
      <c r="P175" s="654" t="s">
        <v>811</v>
      </c>
      <c r="Q175" s="964">
        <v>0</v>
      </c>
      <c r="R175" s="964">
        <v>0</v>
      </c>
      <c r="S175" s="964"/>
    </row>
    <row r="176" spans="1:19" x14ac:dyDescent="0.2">
      <c r="A176" s="945">
        <v>2496</v>
      </c>
      <c r="B176" s="950" t="s">
        <v>172</v>
      </c>
      <c r="E176" s="964">
        <v>7109.06</v>
      </c>
      <c r="F176" s="964">
        <v>119</v>
      </c>
      <c r="G176" s="964">
        <v>757692</v>
      </c>
      <c r="H176" s="964">
        <v>297.4699999999998</v>
      </c>
      <c r="I176" s="964">
        <v>11089</v>
      </c>
      <c r="J176" s="832"/>
      <c r="K176" s="832"/>
      <c r="L176" s="964">
        <v>15559.86</v>
      </c>
      <c r="M176" s="964">
        <v>237430</v>
      </c>
      <c r="N176" s="964">
        <v>119</v>
      </c>
      <c r="O176" s="963">
        <v>3032</v>
      </c>
      <c r="P176" s="654" t="s">
        <v>811</v>
      </c>
      <c r="Q176" s="964">
        <v>0</v>
      </c>
      <c r="R176" s="964">
        <v>0</v>
      </c>
      <c r="S176" s="964"/>
    </row>
    <row r="177" spans="1:19" x14ac:dyDescent="0.2">
      <c r="A177" s="945">
        <v>2544</v>
      </c>
      <c r="B177" s="950" t="s">
        <v>173</v>
      </c>
      <c r="E177" s="964">
        <v>5794.78</v>
      </c>
      <c r="F177" s="964">
        <v>97</v>
      </c>
      <c r="G177" s="964">
        <v>462477</v>
      </c>
      <c r="H177" s="964">
        <v>242.61000000000013</v>
      </c>
      <c r="I177" s="964">
        <v>10070</v>
      </c>
      <c r="J177" s="832"/>
      <c r="K177" s="832"/>
      <c r="L177" s="964">
        <v>11462</v>
      </c>
      <c r="M177" s="964">
        <v>0</v>
      </c>
      <c r="N177" s="964">
        <v>97</v>
      </c>
      <c r="O177" s="963">
        <v>3009</v>
      </c>
      <c r="P177" s="654" t="s">
        <v>811</v>
      </c>
      <c r="Q177" s="964">
        <v>0</v>
      </c>
      <c r="R177" s="964">
        <v>0</v>
      </c>
      <c r="S177" s="964"/>
    </row>
    <row r="178" spans="1:19" x14ac:dyDescent="0.2">
      <c r="A178" s="947">
        <v>1424</v>
      </c>
      <c r="B178" s="950" t="s">
        <v>174</v>
      </c>
      <c r="E178" s="964">
        <v>15771.36</v>
      </c>
      <c r="F178" s="964">
        <v>264</v>
      </c>
      <c r="G178" s="964">
        <v>971963</v>
      </c>
      <c r="H178" s="964">
        <v>670.71357200675175</v>
      </c>
      <c r="I178" s="964">
        <v>58504</v>
      </c>
      <c r="J178" s="832"/>
      <c r="K178" s="832"/>
      <c r="L178" s="964">
        <v>8820.65</v>
      </c>
      <c r="M178" s="964">
        <v>0</v>
      </c>
      <c r="N178" s="964">
        <v>263</v>
      </c>
      <c r="O178" s="963">
        <v>5267</v>
      </c>
      <c r="P178" s="654" t="s">
        <v>857</v>
      </c>
      <c r="Q178" s="964">
        <v>0</v>
      </c>
      <c r="R178" s="964">
        <v>0</v>
      </c>
      <c r="S178" s="964"/>
    </row>
    <row r="179" spans="1:19" x14ac:dyDescent="0.2">
      <c r="A179" s="945">
        <v>3574</v>
      </c>
      <c r="B179" s="950" t="s">
        <v>175</v>
      </c>
      <c r="E179" s="964">
        <v>4301.28</v>
      </c>
      <c r="F179" s="964">
        <v>72</v>
      </c>
      <c r="G179" s="964">
        <v>376790</v>
      </c>
      <c r="H179" s="964">
        <v>180.36000000000035</v>
      </c>
      <c r="I179" s="964">
        <v>5736</v>
      </c>
      <c r="J179" s="832"/>
      <c r="K179" s="832"/>
      <c r="L179" s="964">
        <v>1456.8</v>
      </c>
      <c r="M179" s="964">
        <v>0</v>
      </c>
      <c r="N179" s="964">
        <v>72</v>
      </c>
      <c r="O179" s="963">
        <v>3308</v>
      </c>
      <c r="P179" s="654" t="s">
        <v>811</v>
      </c>
      <c r="Q179" s="964">
        <v>0</v>
      </c>
      <c r="R179" s="964">
        <v>0</v>
      </c>
      <c r="S179" s="964"/>
    </row>
    <row r="180" spans="1:19" x14ac:dyDescent="0.2">
      <c r="A180" s="947">
        <v>3280</v>
      </c>
      <c r="B180" s="950" t="s">
        <v>176</v>
      </c>
      <c r="E180" s="964">
        <v>20072.64</v>
      </c>
      <c r="F180" s="964">
        <v>336</v>
      </c>
      <c r="G180" s="964">
        <v>1217818</v>
      </c>
      <c r="H180" s="964">
        <v>852.90818255404884</v>
      </c>
      <c r="I180" s="964">
        <v>24218</v>
      </c>
      <c r="J180" s="832"/>
      <c r="K180" s="832"/>
      <c r="L180" s="964">
        <v>9511.9</v>
      </c>
      <c r="M180" s="964">
        <v>0</v>
      </c>
      <c r="N180" s="964">
        <v>336</v>
      </c>
      <c r="O180" s="963">
        <v>5255</v>
      </c>
      <c r="P180" s="654" t="s">
        <v>857</v>
      </c>
      <c r="Q180" s="964">
        <v>0</v>
      </c>
      <c r="R180" s="964">
        <v>0</v>
      </c>
      <c r="S180" s="964"/>
    </row>
    <row r="181" spans="1:19" x14ac:dyDescent="0.2">
      <c r="A181" s="945">
        <v>2072</v>
      </c>
      <c r="B181" s="950" t="s">
        <v>177</v>
      </c>
      <c r="E181" s="964">
        <v>13620.720000000001</v>
      </c>
      <c r="F181" s="964">
        <v>228</v>
      </c>
      <c r="G181" s="964">
        <v>881030</v>
      </c>
      <c r="H181" s="964">
        <v>569.63999999999942</v>
      </c>
      <c r="I181" s="964">
        <v>18482</v>
      </c>
      <c r="J181" s="832"/>
      <c r="K181" s="832"/>
      <c r="L181" s="964">
        <v>29669.22</v>
      </c>
      <c r="M181" s="964">
        <v>0</v>
      </c>
      <c r="N181" s="964">
        <v>228</v>
      </c>
      <c r="O181" s="963">
        <v>3214</v>
      </c>
      <c r="P181" s="654" t="s">
        <v>811</v>
      </c>
      <c r="Q181" s="964">
        <v>0</v>
      </c>
      <c r="R181" s="964">
        <v>0</v>
      </c>
      <c r="S181" s="964"/>
    </row>
    <row r="182" spans="1:19" x14ac:dyDescent="0.2">
      <c r="A182" s="945">
        <v>1876</v>
      </c>
      <c r="B182" s="950" t="s">
        <v>178</v>
      </c>
      <c r="E182" s="964">
        <v>14516.82</v>
      </c>
      <c r="F182" s="964">
        <v>243</v>
      </c>
      <c r="G182" s="964">
        <v>917425</v>
      </c>
      <c r="H182" s="964">
        <v>607.59000000000015</v>
      </c>
      <c r="I182" s="964">
        <v>19119</v>
      </c>
      <c r="J182" s="832"/>
      <c r="K182" s="832"/>
      <c r="L182" s="964">
        <v>16033</v>
      </c>
      <c r="M182" s="964">
        <v>0</v>
      </c>
      <c r="N182" s="964">
        <v>243</v>
      </c>
      <c r="O182" s="963">
        <v>3003</v>
      </c>
      <c r="P182" s="654" t="s">
        <v>811</v>
      </c>
      <c r="Q182" s="964">
        <v>0</v>
      </c>
      <c r="R182" s="964">
        <v>0</v>
      </c>
      <c r="S182" s="964"/>
    </row>
    <row r="183" spans="1:19" x14ac:dyDescent="0.2">
      <c r="A183" s="945">
        <v>1878</v>
      </c>
      <c r="B183" s="950" t="s">
        <v>179</v>
      </c>
      <c r="E183" s="964">
        <v>34504.828333333338</v>
      </c>
      <c r="F183" s="964">
        <v>577.58333333333337</v>
      </c>
      <c r="G183" s="964">
        <v>2184652</v>
      </c>
      <c r="H183" s="964">
        <v>1444.0858333333272</v>
      </c>
      <c r="I183" s="964">
        <v>53406</v>
      </c>
      <c r="J183" s="832"/>
      <c r="K183" s="832"/>
      <c r="L183" s="964">
        <v>22221.42</v>
      </c>
      <c r="M183" s="964">
        <v>0</v>
      </c>
      <c r="N183" s="964">
        <v>577.58333333333337</v>
      </c>
      <c r="O183" s="963">
        <v>2011</v>
      </c>
      <c r="P183" s="654" t="s">
        <v>811</v>
      </c>
      <c r="Q183" s="964">
        <v>0</v>
      </c>
      <c r="R183" s="964">
        <v>0</v>
      </c>
      <c r="S183" s="964"/>
    </row>
    <row r="184" spans="1:19" x14ac:dyDescent="0.2">
      <c r="A184" s="945">
        <v>2996</v>
      </c>
      <c r="B184" s="950" t="s">
        <v>180</v>
      </c>
      <c r="E184" s="964">
        <v>12664.880000000001</v>
      </c>
      <c r="F184" s="964">
        <v>212</v>
      </c>
      <c r="G184" s="964">
        <v>811460</v>
      </c>
      <c r="H184" s="964">
        <v>538.57301994481531</v>
      </c>
      <c r="I184" s="964">
        <v>21923</v>
      </c>
      <c r="J184" s="832"/>
      <c r="K184" s="832"/>
      <c r="L184" s="964">
        <v>3271.26</v>
      </c>
      <c r="M184" s="964">
        <v>0</v>
      </c>
      <c r="N184" s="964">
        <v>212</v>
      </c>
      <c r="O184" s="963">
        <v>3612</v>
      </c>
      <c r="P184" s="654" t="s">
        <v>857</v>
      </c>
      <c r="Q184" s="964">
        <v>0</v>
      </c>
      <c r="R184" s="964">
        <v>0</v>
      </c>
      <c r="S184" s="964"/>
    </row>
    <row r="185" spans="1:19" x14ac:dyDescent="0.2">
      <c r="A185" s="945">
        <v>2852</v>
      </c>
      <c r="B185" s="950" t="s">
        <v>181</v>
      </c>
      <c r="E185" s="964">
        <v>6870.1</v>
      </c>
      <c r="F185" s="964">
        <v>115</v>
      </c>
      <c r="G185" s="964">
        <v>526214</v>
      </c>
      <c r="H185" s="964">
        <v>287.94999999999982</v>
      </c>
      <c r="I185" s="964">
        <v>10962</v>
      </c>
      <c r="J185" s="832"/>
      <c r="K185" s="832"/>
      <c r="L185" s="964">
        <v>2464.09</v>
      </c>
      <c r="M185" s="964">
        <v>0</v>
      </c>
      <c r="N185" s="964">
        <v>115</v>
      </c>
      <c r="O185" s="963">
        <v>3302</v>
      </c>
      <c r="P185" s="654" t="s">
        <v>811</v>
      </c>
      <c r="Q185" s="964">
        <v>0</v>
      </c>
      <c r="R185" s="964">
        <v>0</v>
      </c>
      <c r="S185" s="964"/>
    </row>
    <row r="186" spans="1:19" x14ac:dyDescent="0.2">
      <c r="A186" s="945">
        <v>4148</v>
      </c>
      <c r="B186" s="950" t="s">
        <v>182</v>
      </c>
      <c r="E186" s="964">
        <v>11470.08</v>
      </c>
      <c r="F186" s="964">
        <v>192</v>
      </c>
      <c r="G186" s="964">
        <v>723917</v>
      </c>
      <c r="H186" s="964">
        <v>479.96000000000004</v>
      </c>
      <c r="I186" s="964">
        <v>16952</v>
      </c>
      <c r="J186" s="832"/>
      <c r="K186" s="832"/>
      <c r="L186" s="964">
        <v>3081.4</v>
      </c>
      <c r="M186" s="964">
        <v>0</v>
      </c>
      <c r="N186" s="964">
        <v>191</v>
      </c>
      <c r="O186" s="963">
        <v>3815</v>
      </c>
      <c r="P186" s="654" t="s">
        <v>811</v>
      </c>
      <c r="Q186" s="964">
        <v>0</v>
      </c>
      <c r="R186" s="964">
        <v>0</v>
      </c>
      <c r="S186" s="964"/>
    </row>
    <row r="187" spans="1:19" x14ac:dyDescent="0.2">
      <c r="A187" s="947">
        <v>1578</v>
      </c>
      <c r="B187" s="950" t="s">
        <v>183</v>
      </c>
      <c r="E187" s="964">
        <v>12545.4</v>
      </c>
      <c r="F187" s="964">
        <v>210</v>
      </c>
      <c r="G187" s="964">
        <v>814290</v>
      </c>
      <c r="H187" s="964">
        <v>525.30000000000018</v>
      </c>
      <c r="I187" s="964">
        <v>16570</v>
      </c>
      <c r="J187" s="832">
        <v>0</v>
      </c>
      <c r="K187" s="832">
        <v>0</v>
      </c>
      <c r="L187" s="964">
        <v>295.72000000000003</v>
      </c>
      <c r="M187" s="964">
        <v>0</v>
      </c>
      <c r="N187" s="964">
        <v>210</v>
      </c>
      <c r="O187" s="963">
        <v>5224</v>
      </c>
      <c r="P187" s="654" t="s">
        <v>811</v>
      </c>
      <c r="Q187" s="964">
        <v>0</v>
      </c>
      <c r="R187" s="964">
        <v>0</v>
      </c>
      <c r="S187" s="964"/>
    </row>
    <row r="188" spans="1:19" x14ac:dyDescent="0.2">
      <c r="A188" s="945">
        <v>2168</v>
      </c>
      <c r="B188" s="950" t="s">
        <v>184</v>
      </c>
      <c r="E188" s="964">
        <v>12127.220000000001</v>
      </c>
      <c r="F188" s="964">
        <v>203</v>
      </c>
      <c r="G188" s="964">
        <v>800412</v>
      </c>
      <c r="H188" s="964">
        <v>507.38999999999942</v>
      </c>
      <c r="I188" s="964">
        <v>18737</v>
      </c>
      <c r="J188" s="832"/>
      <c r="K188" s="832"/>
      <c r="L188" s="964">
        <v>13624.13</v>
      </c>
      <c r="M188" s="964">
        <v>0</v>
      </c>
      <c r="N188" s="964">
        <v>203</v>
      </c>
      <c r="O188" s="963">
        <v>3023</v>
      </c>
      <c r="P188" s="654" t="s">
        <v>811</v>
      </c>
      <c r="Q188" s="964">
        <v>0</v>
      </c>
      <c r="R188" s="964">
        <v>0</v>
      </c>
      <c r="S188" s="964"/>
    </row>
    <row r="189" spans="1:19" x14ac:dyDescent="0.2">
      <c r="A189" s="945">
        <v>4436</v>
      </c>
      <c r="B189" s="950" t="s">
        <v>897</v>
      </c>
      <c r="E189" s="964">
        <v>15950.58</v>
      </c>
      <c r="F189" s="964">
        <v>267</v>
      </c>
      <c r="G189" s="964">
        <v>993021</v>
      </c>
      <c r="H189" s="964">
        <v>667.71</v>
      </c>
      <c r="I189" s="964">
        <v>23708</v>
      </c>
      <c r="J189" s="832"/>
      <c r="K189" s="832"/>
      <c r="L189" s="964">
        <v>31434</v>
      </c>
      <c r="M189" s="964">
        <v>0</v>
      </c>
      <c r="N189" s="964">
        <v>267</v>
      </c>
      <c r="O189" s="963">
        <v>3028</v>
      </c>
      <c r="P189" s="654" t="s">
        <v>811</v>
      </c>
      <c r="Q189" s="964">
        <v>0</v>
      </c>
      <c r="R189" s="964">
        <v>0</v>
      </c>
      <c r="S189" s="964"/>
    </row>
    <row r="190" spans="1:19" x14ac:dyDescent="0.2">
      <c r="A190" s="945">
        <v>4508</v>
      </c>
      <c r="B190" s="950" t="s">
        <v>185</v>
      </c>
      <c r="E190" s="964">
        <v>4659.72</v>
      </c>
      <c r="F190" s="964">
        <v>78</v>
      </c>
      <c r="G190" s="964">
        <v>390792</v>
      </c>
      <c r="H190" s="964">
        <v>195.13999999999987</v>
      </c>
      <c r="I190" s="964">
        <v>8158</v>
      </c>
      <c r="J190" s="832"/>
      <c r="K190" s="832"/>
      <c r="L190" s="964">
        <v>5791.89</v>
      </c>
      <c r="M190" s="964">
        <v>0</v>
      </c>
      <c r="N190" s="964">
        <v>78</v>
      </c>
      <c r="O190" s="963">
        <v>3015</v>
      </c>
      <c r="P190" s="654" t="s">
        <v>811</v>
      </c>
      <c r="Q190" s="964">
        <v>0</v>
      </c>
      <c r="R190" s="964">
        <v>0</v>
      </c>
      <c r="S190" s="964"/>
    </row>
    <row r="191" spans="1:19" x14ac:dyDescent="0.2">
      <c r="A191" s="945">
        <v>3884</v>
      </c>
      <c r="B191" s="950" t="s">
        <v>187</v>
      </c>
      <c r="E191" s="964">
        <v>12067.48</v>
      </c>
      <c r="F191" s="964">
        <v>202</v>
      </c>
      <c r="G191" s="964">
        <v>763962</v>
      </c>
      <c r="H191" s="964">
        <v>505.26000000000022</v>
      </c>
      <c r="I191" s="964">
        <v>16443</v>
      </c>
      <c r="J191" s="832"/>
      <c r="K191" s="832"/>
      <c r="L191" s="964">
        <v>1686.7</v>
      </c>
      <c r="M191" s="964">
        <v>0</v>
      </c>
      <c r="N191" s="964">
        <v>202</v>
      </c>
      <c r="O191" s="963">
        <v>3430</v>
      </c>
      <c r="P191" s="654" t="s">
        <v>811</v>
      </c>
      <c r="Q191" s="964">
        <v>0</v>
      </c>
      <c r="R191" s="964">
        <v>0</v>
      </c>
      <c r="S191" s="964"/>
    </row>
    <row r="192" spans="1:19" x14ac:dyDescent="0.2">
      <c r="A192" s="945">
        <v>1018</v>
      </c>
      <c r="B192" s="950" t="s">
        <v>188</v>
      </c>
      <c r="E192" s="964">
        <v>6272.7</v>
      </c>
      <c r="F192" s="964">
        <v>105</v>
      </c>
      <c r="G192" s="964">
        <v>481969</v>
      </c>
      <c r="H192" s="964">
        <v>262.65000000000009</v>
      </c>
      <c r="I192" s="964">
        <v>11217</v>
      </c>
      <c r="J192" s="832"/>
      <c r="K192" s="832"/>
      <c r="L192" s="964">
        <v>10846</v>
      </c>
      <c r="M192" s="964">
        <v>0</v>
      </c>
      <c r="N192" s="964">
        <v>105</v>
      </c>
      <c r="O192" s="963">
        <v>3030</v>
      </c>
      <c r="P192" s="654" t="s">
        <v>811</v>
      </c>
      <c r="Q192" s="964">
        <v>0</v>
      </c>
      <c r="R192" s="964">
        <v>0</v>
      </c>
      <c r="S192" s="964"/>
    </row>
    <row r="193" spans="1:19" x14ac:dyDescent="0.2">
      <c r="A193" s="945">
        <v>1506</v>
      </c>
      <c r="B193" s="950" t="s">
        <v>189</v>
      </c>
      <c r="E193" s="964">
        <v>12485.66</v>
      </c>
      <c r="F193" s="964">
        <v>209</v>
      </c>
      <c r="G193" s="964">
        <v>789362</v>
      </c>
      <c r="H193" s="964">
        <v>522.17000000000007</v>
      </c>
      <c r="I193" s="964">
        <v>21031</v>
      </c>
      <c r="J193" s="832"/>
      <c r="K193" s="832"/>
      <c r="L193" s="964">
        <v>2341.75</v>
      </c>
      <c r="M193" s="964">
        <v>0</v>
      </c>
      <c r="N193" s="964">
        <v>209</v>
      </c>
      <c r="O193" s="963">
        <v>3450</v>
      </c>
      <c r="P193" s="654" t="s">
        <v>811</v>
      </c>
      <c r="Q193" s="964">
        <v>0</v>
      </c>
      <c r="R193" s="964">
        <v>0</v>
      </c>
      <c r="S193" s="964"/>
    </row>
    <row r="194" spans="1:19" x14ac:dyDescent="0.2">
      <c r="A194" s="945">
        <v>2870</v>
      </c>
      <c r="B194" s="950" t="s">
        <v>190</v>
      </c>
      <c r="E194" s="964">
        <v>5615.56</v>
      </c>
      <c r="F194" s="964">
        <v>94</v>
      </c>
      <c r="G194" s="964">
        <v>437163</v>
      </c>
      <c r="H194" s="964">
        <v>235.2199999999998</v>
      </c>
      <c r="I194" s="964">
        <v>6373</v>
      </c>
      <c r="J194" s="832"/>
      <c r="K194" s="832"/>
      <c r="L194" s="964">
        <v>2793.3</v>
      </c>
      <c r="M194" s="964">
        <v>0</v>
      </c>
      <c r="N194" s="964">
        <v>94</v>
      </c>
      <c r="O194" s="963">
        <v>3580</v>
      </c>
      <c r="P194" s="654" t="s">
        <v>811</v>
      </c>
      <c r="Q194" s="964">
        <v>0</v>
      </c>
      <c r="R194" s="964">
        <v>0</v>
      </c>
      <c r="S194" s="964"/>
    </row>
    <row r="195" spans="1:19" x14ac:dyDescent="0.2">
      <c r="A195" s="945">
        <v>4872</v>
      </c>
      <c r="B195" s="950" t="s">
        <v>191</v>
      </c>
      <c r="E195" s="964">
        <v>2867.52</v>
      </c>
      <c r="F195" s="964">
        <v>48</v>
      </c>
      <c r="G195" s="964">
        <v>298409</v>
      </c>
      <c r="H195" s="964">
        <v>120.24000000000001</v>
      </c>
      <c r="I195" s="964">
        <v>4971</v>
      </c>
      <c r="J195" s="832"/>
      <c r="K195" s="832"/>
      <c r="L195" s="964">
        <v>-25</v>
      </c>
      <c r="M195" s="964">
        <v>0</v>
      </c>
      <c r="N195" s="964">
        <v>48</v>
      </c>
      <c r="O195" s="963">
        <v>3560</v>
      </c>
      <c r="P195" s="654" t="s">
        <v>811</v>
      </c>
      <c r="Q195" s="964">
        <v>0</v>
      </c>
      <c r="R195" s="964">
        <v>0</v>
      </c>
      <c r="S195" s="964"/>
    </row>
    <row r="196" spans="1:19" x14ac:dyDescent="0.2">
      <c r="A196" s="947">
        <v>4202</v>
      </c>
      <c r="B196" s="950" t="s">
        <v>192</v>
      </c>
      <c r="E196" s="964">
        <v>18280.440000000002</v>
      </c>
      <c r="F196" s="964">
        <v>306</v>
      </c>
      <c r="G196" s="964">
        <v>1073736</v>
      </c>
      <c r="H196" s="964">
        <v>764.77999999999793</v>
      </c>
      <c r="I196" s="964">
        <v>30081</v>
      </c>
      <c r="J196" s="832"/>
      <c r="K196" s="832"/>
      <c r="L196" s="964">
        <v>8452.2800000000007</v>
      </c>
      <c r="M196" s="964">
        <v>0</v>
      </c>
      <c r="N196" s="964">
        <v>306</v>
      </c>
      <c r="O196" s="963">
        <v>5229</v>
      </c>
      <c r="P196" s="654" t="s">
        <v>811</v>
      </c>
      <c r="Q196" s="964">
        <v>0</v>
      </c>
      <c r="R196" s="964">
        <v>0</v>
      </c>
      <c r="S196" s="964"/>
    </row>
    <row r="197" spans="1:19" x14ac:dyDescent="0.2">
      <c r="A197" s="945">
        <v>1880</v>
      </c>
      <c r="B197" s="950" t="s">
        <v>193</v>
      </c>
      <c r="E197" s="964">
        <v>15149.068333333335</v>
      </c>
      <c r="F197" s="964">
        <v>253.58333333333334</v>
      </c>
      <c r="G197" s="964">
        <v>991090</v>
      </c>
      <c r="H197" s="964">
        <v>633.96583333333183</v>
      </c>
      <c r="I197" s="964">
        <v>27277</v>
      </c>
      <c r="J197" s="832"/>
      <c r="K197" s="832"/>
      <c r="L197" s="964">
        <v>20151.91</v>
      </c>
      <c r="M197" s="964">
        <v>0</v>
      </c>
      <c r="N197" s="964">
        <v>251.58333333333334</v>
      </c>
      <c r="O197" s="963">
        <v>2297</v>
      </c>
      <c r="P197" s="654" t="s">
        <v>811</v>
      </c>
      <c r="Q197" s="964">
        <v>0</v>
      </c>
      <c r="R197" s="964">
        <v>0</v>
      </c>
      <c r="S197" s="964"/>
    </row>
    <row r="198" spans="1:19" x14ac:dyDescent="0.2">
      <c r="A198" s="945">
        <v>2372</v>
      </c>
      <c r="B198" s="950" t="s">
        <v>194</v>
      </c>
      <c r="E198" s="964">
        <v>14277.86</v>
      </c>
      <c r="F198" s="964">
        <v>239</v>
      </c>
      <c r="G198" s="964">
        <v>889894</v>
      </c>
      <c r="H198" s="964">
        <v>597.06999999999971</v>
      </c>
      <c r="I198" s="964">
        <v>0</v>
      </c>
      <c r="J198" s="832"/>
      <c r="K198" s="832"/>
      <c r="L198" s="964">
        <v>4046.05</v>
      </c>
      <c r="M198" s="964">
        <v>0</v>
      </c>
      <c r="N198" s="964">
        <v>239</v>
      </c>
      <c r="O198" s="963">
        <v>3810</v>
      </c>
      <c r="P198" s="654" t="s">
        <v>811</v>
      </c>
      <c r="Q198" s="964">
        <v>0</v>
      </c>
      <c r="R198" s="964">
        <v>0</v>
      </c>
      <c r="S198" s="964"/>
    </row>
    <row r="199" spans="1:19" x14ac:dyDescent="0.2">
      <c r="A199" s="945">
        <v>1382</v>
      </c>
      <c r="B199" s="950" t="s">
        <v>195</v>
      </c>
      <c r="E199" s="964">
        <v>25090.799999999999</v>
      </c>
      <c r="F199" s="964">
        <v>420</v>
      </c>
      <c r="G199" s="964">
        <v>1449492</v>
      </c>
      <c r="H199" s="964">
        <v>1049.6000000000004</v>
      </c>
      <c r="I199" s="964">
        <v>39895</v>
      </c>
      <c r="J199" s="832"/>
      <c r="K199" s="832"/>
      <c r="L199" s="964">
        <v>7075.88</v>
      </c>
      <c r="M199" s="964">
        <v>0</v>
      </c>
      <c r="N199" s="964">
        <v>419</v>
      </c>
      <c r="O199" s="963">
        <v>3440</v>
      </c>
      <c r="P199" s="654" t="s">
        <v>811</v>
      </c>
      <c r="Q199" s="964">
        <v>0</v>
      </c>
      <c r="R199" s="964">
        <v>0</v>
      </c>
      <c r="S199" s="964"/>
    </row>
    <row r="200" spans="1:19" x14ac:dyDescent="0.2">
      <c r="A200" s="945">
        <v>4480</v>
      </c>
      <c r="B200" s="950" t="s">
        <v>196</v>
      </c>
      <c r="E200" s="964">
        <v>9259.7000000000007</v>
      </c>
      <c r="F200" s="964">
        <v>155</v>
      </c>
      <c r="G200" s="964">
        <v>621254</v>
      </c>
      <c r="H200" s="964">
        <v>387.14999999999964</v>
      </c>
      <c r="I200" s="964">
        <v>13256</v>
      </c>
      <c r="J200" s="832"/>
      <c r="K200" s="832"/>
      <c r="L200" s="964">
        <v>-5927.09</v>
      </c>
      <c r="M200" s="964">
        <v>0</v>
      </c>
      <c r="N200" s="964">
        <v>154</v>
      </c>
      <c r="O200" s="963">
        <v>3232</v>
      </c>
      <c r="P200" s="654" t="s">
        <v>811</v>
      </c>
      <c r="Q200" s="964">
        <v>0</v>
      </c>
      <c r="R200" s="964">
        <v>0</v>
      </c>
      <c r="S200" s="964"/>
    </row>
    <row r="201" spans="1:19" x14ac:dyDescent="0.2">
      <c r="A201" s="945">
        <v>3688</v>
      </c>
      <c r="B201" s="950" t="s">
        <v>197</v>
      </c>
      <c r="E201" s="964">
        <v>8722.0400000000009</v>
      </c>
      <c r="F201" s="964">
        <v>146</v>
      </c>
      <c r="G201" s="964">
        <v>607491</v>
      </c>
      <c r="H201" s="964">
        <v>364.97999999999911</v>
      </c>
      <c r="I201" s="964">
        <v>15805</v>
      </c>
      <c r="J201" s="832"/>
      <c r="K201" s="832"/>
      <c r="L201" s="964">
        <v>23341.5</v>
      </c>
      <c r="M201" s="964">
        <v>0</v>
      </c>
      <c r="N201" s="964">
        <v>146</v>
      </c>
      <c r="O201" s="963">
        <v>3102</v>
      </c>
      <c r="P201" s="654" t="s">
        <v>811</v>
      </c>
      <c r="Q201" s="964">
        <v>0</v>
      </c>
      <c r="R201" s="964">
        <v>0</v>
      </c>
      <c r="S201" s="964"/>
    </row>
    <row r="202" spans="1:19" x14ac:dyDescent="0.2">
      <c r="A202" s="945">
        <v>1808</v>
      </c>
      <c r="B202" s="950" t="s">
        <v>198</v>
      </c>
      <c r="E202" s="964">
        <v>16906.420000000002</v>
      </c>
      <c r="F202" s="964">
        <v>283</v>
      </c>
      <c r="G202" s="964">
        <v>1031392</v>
      </c>
      <c r="H202" s="964">
        <v>707.78999999999814</v>
      </c>
      <c r="I202" s="964">
        <v>22816</v>
      </c>
      <c r="J202" s="832"/>
      <c r="K202" s="832"/>
      <c r="L202" s="964">
        <v>22489.25</v>
      </c>
      <c r="M202" s="964">
        <v>0</v>
      </c>
      <c r="N202" s="964">
        <v>282</v>
      </c>
      <c r="O202" s="963">
        <v>3209</v>
      </c>
      <c r="P202" s="654" t="s">
        <v>811</v>
      </c>
      <c r="Q202" s="964">
        <v>0</v>
      </c>
      <c r="R202" s="964">
        <v>0</v>
      </c>
      <c r="S202" s="964"/>
    </row>
    <row r="203" spans="1:19" x14ac:dyDescent="0.2">
      <c r="A203" s="945">
        <v>3932</v>
      </c>
      <c r="B203" s="950" t="s">
        <v>199</v>
      </c>
      <c r="E203" s="964">
        <v>12545.4</v>
      </c>
      <c r="F203" s="964">
        <v>210</v>
      </c>
      <c r="G203" s="964">
        <v>836499</v>
      </c>
      <c r="H203" s="964">
        <v>525.30000000000018</v>
      </c>
      <c r="I203" s="964">
        <v>18354</v>
      </c>
      <c r="J203" s="832"/>
      <c r="K203" s="832"/>
      <c r="L203" s="964">
        <v>23273.49</v>
      </c>
      <c r="M203" s="964">
        <v>0</v>
      </c>
      <c r="N203" s="964">
        <v>210</v>
      </c>
      <c r="O203" s="963">
        <v>3013</v>
      </c>
      <c r="P203" s="654" t="s">
        <v>811</v>
      </c>
      <c r="Q203" s="964">
        <v>0</v>
      </c>
      <c r="R203" s="964">
        <v>0</v>
      </c>
      <c r="S203" s="964"/>
    </row>
    <row r="204" spans="1:19" x14ac:dyDescent="0.2">
      <c r="A204" s="945">
        <v>1264</v>
      </c>
      <c r="B204" s="950" t="s">
        <v>200</v>
      </c>
      <c r="E204" s="964">
        <v>25150.54</v>
      </c>
      <c r="F204" s="964">
        <v>421</v>
      </c>
      <c r="G204" s="964">
        <v>1460113</v>
      </c>
      <c r="H204" s="964">
        <v>1068.8879311168275</v>
      </c>
      <c r="I204" s="964">
        <v>40277</v>
      </c>
      <c r="J204" s="832"/>
      <c r="K204" s="832"/>
      <c r="L204" s="964">
        <v>6494.63</v>
      </c>
      <c r="M204" s="964">
        <v>0</v>
      </c>
      <c r="N204" s="964">
        <v>421</v>
      </c>
      <c r="O204" s="963">
        <v>3471</v>
      </c>
      <c r="P204" s="654" t="s">
        <v>857</v>
      </c>
      <c r="Q204" s="964">
        <v>0</v>
      </c>
      <c r="R204" s="964">
        <v>0</v>
      </c>
      <c r="S204" s="964"/>
    </row>
    <row r="205" spans="1:19" x14ac:dyDescent="0.2">
      <c r="A205" s="945">
        <v>1682</v>
      </c>
      <c r="B205" s="950" t="s">
        <v>201</v>
      </c>
      <c r="E205" s="964">
        <v>12664.880000000001</v>
      </c>
      <c r="F205" s="964">
        <v>212</v>
      </c>
      <c r="G205" s="964">
        <v>835867</v>
      </c>
      <c r="H205" s="964">
        <v>529.55999999999949</v>
      </c>
      <c r="I205" s="964">
        <v>16443</v>
      </c>
      <c r="J205" s="832"/>
      <c r="K205" s="832"/>
      <c r="L205" s="964">
        <v>3610.62</v>
      </c>
      <c r="M205" s="964">
        <v>0</v>
      </c>
      <c r="N205" s="964">
        <v>211</v>
      </c>
      <c r="O205" s="963">
        <v>3770</v>
      </c>
      <c r="P205" s="654" t="s">
        <v>811</v>
      </c>
      <c r="Q205" s="964">
        <v>0</v>
      </c>
      <c r="R205" s="964">
        <v>0</v>
      </c>
      <c r="S205" s="964"/>
    </row>
    <row r="206" spans="1:19" x14ac:dyDescent="0.2">
      <c r="A206" s="945">
        <v>1428</v>
      </c>
      <c r="B206" s="950" t="s">
        <v>202</v>
      </c>
      <c r="E206" s="964">
        <v>13381.76</v>
      </c>
      <c r="F206" s="964">
        <v>224</v>
      </c>
      <c r="G206" s="964">
        <v>853305</v>
      </c>
      <c r="H206" s="964">
        <v>568.60545503603225</v>
      </c>
      <c r="I206" s="964">
        <v>47542</v>
      </c>
      <c r="J206" s="832"/>
      <c r="K206" s="832"/>
      <c r="L206" s="964">
        <v>3984.28</v>
      </c>
      <c r="M206" s="964">
        <v>0</v>
      </c>
      <c r="N206" s="964">
        <v>224</v>
      </c>
      <c r="O206" s="963">
        <v>3622</v>
      </c>
      <c r="P206" s="654" t="s">
        <v>857</v>
      </c>
      <c r="Q206" s="964">
        <v>0</v>
      </c>
      <c r="R206" s="964">
        <v>0</v>
      </c>
      <c r="S206" s="964"/>
    </row>
    <row r="207" spans="1:19" x14ac:dyDescent="0.2">
      <c r="A207" s="945">
        <v>1426</v>
      </c>
      <c r="B207" s="950" t="s">
        <v>203</v>
      </c>
      <c r="E207" s="964">
        <v>18459.66</v>
      </c>
      <c r="F207" s="964">
        <v>309</v>
      </c>
      <c r="G207" s="964">
        <v>1118501</v>
      </c>
      <c r="H207" s="964">
        <v>784.58520359881186</v>
      </c>
      <c r="I207" s="964">
        <v>0</v>
      </c>
      <c r="J207" s="832"/>
      <c r="K207" s="832"/>
      <c r="L207" s="964">
        <v>5976.42</v>
      </c>
      <c r="M207" s="964">
        <v>0</v>
      </c>
      <c r="N207" s="964">
        <v>309</v>
      </c>
      <c r="O207" s="963">
        <v>3592</v>
      </c>
      <c r="P207" s="654" t="s">
        <v>857</v>
      </c>
      <c r="Q207" s="964">
        <v>0</v>
      </c>
      <c r="R207" s="964">
        <v>0</v>
      </c>
      <c r="S207" s="964"/>
    </row>
    <row r="208" spans="1:19" x14ac:dyDescent="0.2">
      <c r="A208" s="945">
        <v>4216</v>
      </c>
      <c r="B208" s="950" t="s">
        <v>204</v>
      </c>
      <c r="E208" s="964">
        <v>21008.566666666669</v>
      </c>
      <c r="F208" s="964">
        <v>351.66666666666669</v>
      </c>
      <c r="G208" s="964">
        <v>1233450</v>
      </c>
      <c r="H208" s="964">
        <v>878.71666666666351</v>
      </c>
      <c r="I208" s="964">
        <v>37856</v>
      </c>
      <c r="J208" s="832"/>
      <c r="K208" s="832"/>
      <c r="L208" s="964">
        <v>18278</v>
      </c>
      <c r="M208" s="964">
        <v>0</v>
      </c>
      <c r="N208" s="964">
        <v>351.66666666666669</v>
      </c>
      <c r="O208" s="963">
        <v>2041</v>
      </c>
      <c r="P208" s="654" t="s">
        <v>811</v>
      </c>
      <c r="Q208" s="964">
        <v>0</v>
      </c>
      <c r="R208" s="964">
        <v>0</v>
      </c>
      <c r="S208" s="964"/>
    </row>
    <row r="209" spans="1:19" x14ac:dyDescent="0.2">
      <c r="A209" s="945">
        <v>4218</v>
      </c>
      <c r="B209" s="951" t="s">
        <v>205</v>
      </c>
      <c r="E209" s="964">
        <v>25603.568333333333</v>
      </c>
      <c r="F209" s="964">
        <v>428.58333333333331</v>
      </c>
      <c r="G209" s="964">
        <v>1496779</v>
      </c>
      <c r="H209" s="964">
        <v>1071.7158333333355</v>
      </c>
      <c r="I209" s="964">
        <v>37346</v>
      </c>
      <c r="J209" s="832"/>
      <c r="K209" s="832"/>
      <c r="L209" s="964">
        <v>31166.86</v>
      </c>
      <c r="M209" s="964">
        <v>0</v>
      </c>
      <c r="N209" s="964">
        <v>425.58333333333331</v>
      </c>
      <c r="O209" s="963">
        <v>2081</v>
      </c>
      <c r="P209" s="654" t="s">
        <v>811</v>
      </c>
      <c r="Q209" s="964">
        <v>0</v>
      </c>
      <c r="R209" s="964">
        <v>0</v>
      </c>
      <c r="S209" s="964"/>
    </row>
    <row r="210" spans="1:19" x14ac:dyDescent="0.2">
      <c r="A210" s="945">
        <v>4238</v>
      </c>
      <c r="B210" s="951" t="s">
        <v>206</v>
      </c>
      <c r="E210" s="964">
        <v>8597.5816666666669</v>
      </c>
      <c r="F210" s="964">
        <v>143.91666666666666</v>
      </c>
      <c r="G210" s="964">
        <v>603150</v>
      </c>
      <c r="H210" s="964">
        <v>359.70916666666699</v>
      </c>
      <c r="I210" s="964">
        <v>13001</v>
      </c>
      <c r="J210" s="832"/>
      <c r="K210" s="832"/>
      <c r="L210" s="964">
        <v>1453.69</v>
      </c>
      <c r="M210" s="964">
        <v>0</v>
      </c>
      <c r="N210" s="964">
        <v>142.91666666666666</v>
      </c>
      <c r="O210" s="963">
        <v>2550</v>
      </c>
      <c r="P210" s="654" t="s">
        <v>811</v>
      </c>
      <c r="Q210" s="964">
        <v>0</v>
      </c>
      <c r="R210" s="964">
        <v>0</v>
      </c>
      <c r="S210" s="964"/>
    </row>
    <row r="211" spans="1:19" x14ac:dyDescent="0.2">
      <c r="A211" s="945">
        <v>4262</v>
      </c>
      <c r="B211" s="950" t="s">
        <v>207</v>
      </c>
      <c r="E211" s="964">
        <v>12007.74</v>
      </c>
      <c r="F211" s="964">
        <v>201</v>
      </c>
      <c r="G211" s="964">
        <v>779531</v>
      </c>
      <c r="H211" s="964">
        <v>502.13000000000011</v>
      </c>
      <c r="I211" s="964">
        <v>18354</v>
      </c>
      <c r="J211" s="832"/>
      <c r="K211" s="832"/>
      <c r="L211" s="964">
        <v>18364.47</v>
      </c>
      <c r="M211" s="964">
        <v>0</v>
      </c>
      <c r="N211" s="964">
        <v>201</v>
      </c>
      <c r="O211" s="963">
        <v>3225</v>
      </c>
      <c r="P211" s="654" t="s">
        <v>811</v>
      </c>
      <c r="Q211" s="964">
        <v>0</v>
      </c>
      <c r="R211" s="964">
        <v>0</v>
      </c>
      <c r="S211" s="964"/>
    </row>
    <row r="212" spans="1:19" x14ac:dyDescent="0.2">
      <c r="A212" s="945">
        <v>1268</v>
      </c>
      <c r="B212" s="951" t="s">
        <v>208</v>
      </c>
      <c r="E212" s="964">
        <v>10275.280000000001</v>
      </c>
      <c r="F212" s="964">
        <v>172</v>
      </c>
      <c r="G212" s="964">
        <v>706591</v>
      </c>
      <c r="H212" s="964">
        <v>436.46490297409582</v>
      </c>
      <c r="I212" s="964">
        <v>36454</v>
      </c>
      <c r="J212" s="832">
        <v>0</v>
      </c>
      <c r="K212" s="832">
        <v>0</v>
      </c>
      <c r="L212" s="964">
        <v>2935.93</v>
      </c>
      <c r="M212" s="964">
        <v>0</v>
      </c>
      <c r="N212" s="964">
        <v>172</v>
      </c>
      <c r="O212" s="963">
        <v>2671</v>
      </c>
      <c r="P212" s="654" t="s">
        <v>857</v>
      </c>
      <c r="Q212" s="964">
        <v>0</v>
      </c>
      <c r="R212" s="964">
        <v>0</v>
      </c>
      <c r="S212" s="964"/>
    </row>
    <row r="213" spans="1:19" x14ac:dyDescent="0.2">
      <c r="A213" s="945">
        <v>1266</v>
      </c>
      <c r="B213" s="950" t="s">
        <v>209</v>
      </c>
      <c r="E213" s="964">
        <v>15711.62</v>
      </c>
      <c r="F213" s="964">
        <v>263</v>
      </c>
      <c r="G213" s="964">
        <v>986765</v>
      </c>
      <c r="H213" s="964">
        <v>667.96086908248344</v>
      </c>
      <c r="I213" s="964">
        <v>0</v>
      </c>
      <c r="J213" s="832"/>
      <c r="K213" s="832"/>
      <c r="L213" s="964">
        <v>5300.23</v>
      </c>
      <c r="M213" s="964">
        <v>0</v>
      </c>
      <c r="N213" s="964">
        <v>263</v>
      </c>
      <c r="O213" s="963">
        <v>2601</v>
      </c>
      <c r="P213" s="654" t="s">
        <v>857</v>
      </c>
      <c r="Q213" s="964">
        <v>0</v>
      </c>
      <c r="R213" s="964">
        <v>0</v>
      </c>
      <c r="S213" s="964"/>
    </row>
    <row r="214" spans="1:19" x14ac:dyDescent="0.2">
      <c r="A214" s="947">
        <v>1640</v>
      </c>
      <c r="B214" s="950" t="s">
        <v>210</v>
      </c>
      <c r="E214" s="964">
        <v>0</v>
      </c>
      <c r="F214" s="964">
        <v>0</v>
      </c>
      <c r="G214" s="964">
        <v>0</v>
      </c>
      <c r="H214" s="964">
        <v>0</v>
      </c>
      <c r="I214" s="964">
        <v>0</v>
      </c>
      <c r="J214" s="832"/>
      <c r="K214" s="832"/>
      <c r="L214" s="964">
        <v>0</v>
      </c>
      <c r="M214" s="964">
        <v>0</v>
      </c>
      <c r="N214" s="964">
        <v>0</v>
      </c>
      <c r="O214" s="963">
        <v>1000</v>
      </c>
      <c r="P214" s="654" t="s">
        <v>811</v>
      </c>
      <c r="Q214" s="964">
        <v>0</v>
      </c>
      <c r="R214" s="964">
        <v>0</v>
      </c>
      <c r="S214" s="964"/>
    </row>
    <row r="215" spans="1:19" x14ac:dyDescent="0.2">
      <c r="A215" s="945">
        <v>4358</v>
      </c>
      <c r="B215" s="950" t="s">
        <v>211</v>
      </c>
      <c r="E215" s="964">
        <v>9020.74</v>
      </c>
      <c r="F215" s="964">
        <v>151</v>
      </c>
      <c r="G215" s="964">
        <v>875133</v>
      </c>
      <c r="H215" s="964">
        <v>377.63000000000056</v>
      </c>
      <c r="I215" s="964">
        <v>15678</v>
      </c>
      <c r="J215" s="832"/>
      <c r="K215" s="832"/>
      <c r="L215" s="964">
        <v>18545.54</v>
      </c>
      <c r="M215" s="964">
        <v>237430</v>
      </c>
      <c r="N215" s="964">
        <v>151</v>
      </c>
      <c r="O215" s="963">
        <v>2050</v>
      </c>
      <c r="P215" s="654" t="s">
        <v>811</v>
      </c>
      <c r="Q215" s="964">
        <v>0</v>
      </c>
      <c r="R215" s="964">
        <v>0</v>
      </c>
      <c r="S215" s="964"/>
    </row>
    <row r="216" spans="1:19" x14ac:dyDescent="0.2">
      <c r="A216" s="945">
        <v>4366</v>
      </c>
      <c r="B216" s="950" t="s">
        <v>212</v>
      </c>
      <c r="E216" s="964">
        <v>5376.6</v>
      </c>
      <c r="F216" s="964">
        <v>90</v>
      </c>
      <c r="G216" s="964">
        <v>419486</v>
      </c>
      <c r="H216" s="964">
        <v>224.69999999999982</v>
      </c>
      <c r="I216" s="964">
        <v>10452</v>
      </c>
      <c r="J216" s="832"/>
      <c r="K216" s="832"/>
      <c r="L216" s="964">
        <v>1814.74</v>
      </c>
      <c r="M216" s="964">
        <v>0</v>
      </c>
      <c r="N216" s="964">
        <v>90</v>
      </c>
      <c r="O216" s="963">
        <v>3470</v>
      </c>
      <c r="P216" s="654" t="s">
        <v>811</v>
      </c>
      <c r="Q216" s="964">
        <v>0</v>
      </c>
      <c r="R216" s="964">
        <v>0</v>
      </c>
      <c r="S216" s="964"/>
    </row>
    <row r="217" spans="1:19" x14ac:dyDescent="0.2">
      <c r="A217" s="947">
        <v>4374</v>
      </c>
      <c r="B217" s="950" t="s">
        <v>213</v>
      </c>
      <c r="E217" s="964">
        <v>14636.300000000001</v>
      </c>
      <c r="F217" s="964">
        <v>245</v>
      </c>
      <c r="G217" s="964">
        <v>889267</v>
      </c>
      <c r="H217" s="964">
        <v>612.84999999999945</v>
      </c>
      <c r="I217" s="964">
        <v>21668</v>
      </c>
      <c r="J217" s="832"/>
      <c r="K217" s="832"/>
      <c r="L217" s="964">
        <v>6951.71</v>
      </c>
      <c r="M217" s="964">
        <v>0</v>
      </c>
      <c r="N217" s="964">
        <v>245</v>
      </c>
      <c r="O217" s="963">
        <v>5248</v>
      </c>
      <c r="P217" s="654" t="s">
        <v>811</v>
      </c>
      <c r="Q217" s="964">
        <v>0</v>
      </c>
      <c r="R217" s="964">
        <v>0</v>
      </c>
      <c r="S217" s="964"/>
    </row>
    <row r="218" spans="1:19" x14ac:dyDescent="0.2">
      <c r="A218" s="947">
        <v>3294</v>
      </c>
      <c r="B218" s="950" t="s">
        <v>214</v>
      </c>
      <c r="E218" s="964">
        <v>23358.34</v>
      </c>
      <c r="F218" s="964">
        <v>391</v>
      </c>
      <c r="G218" s="964">
        <v>1461646</v>
      </c>
      <c r="H218" s="964">
        <v>992.30684338878746</v>
      </c>
      <c r="I218" s="964">
        <v>33522</v>
      </c>
      <c r="J218" s="832"/>
      <c r="K218" s="832"/>
      <c r="L218" s="964">
        <v>9937.2000000000007</v>
      </c>
      <c r="M218" s="964">
        <v>0</v>
      </c>
      <c r="N218" s="964">
        <v>391</v>
      </c>
      <c r="O218" s="963">
        <v>5269</v>
      </c>
      <c r="P218" s="654" t="s">
        <v>857</v>
      </c>
      <c r="Q218" s="964">
        <v>0</v>
      </c>
      <c r="R218" s="964">
        <v>0</v>
      </c>
      <c r="S218" s="964"/>
    </row>
    <row r="219" spans="1:19" x14ac:dyDescent="0.2">
      <c r="A219" s="945">
        <v>4434</v>
      </c>
      <c r="B219" s="950" t="s">
        <v>215</v>
      </c>
      <c r="E219" s="964">
        <v>10335.02</v>
      </c>
      <c r="F219" s="964">
        <v>173</v>
      </c>
      <c r="G219" s="964">
        <v>693372</v>
      </c>
      <c r="H219" s="964">
        <v>432.48999999999978</v>
      </c>
      <c r="I219" s="964">
        <v>17462</v>
      </c>
      <c r="J219" s="832"/>
      <c r="K219" s="832"/>
      <c r="L219" s="964">
        <v>22724</v>
      </c>
      <c r="M219" s="964">
        <v>0</v>
      </c>
      <c r="N219" s="964">
        <v>173</v>
      </c>
      <c r="O219" s="963">
        <v>2042</v>
      </c>
      <c r="P219" s="654" t="s">
        <v>811</v>
      </c>
      <c r="Q219" s="964">
        <v>0</v>
      </c>
      <c r="R219" s="964">
        <v>0</v>
      </c>
      <c r="S219" s="964"/>
    </row>
    <row r="220" spans="1:19" x14ac:dyDescent="0.2">
      <c r="A220" s="945">
        <v>4490</v>
      </c>
      <c r="B220" s="950" t="s">
        <v>216</v>
      </c>
      <c r="E220" s="964">
        <v>12545.4</v>
      </c>
      <c r="F220" s="964">
        <v>210</v>
      </c>
      <c r="G220" s="964">
        <v>790819</v>
      </c>
      <c r="H220" s="964">
        <v>525.30000000000018</v>
      </c>
      <c r="I220" s="964">
        <v>17845</v>
      </c>
      <c r="J220" s="832"/>
      <c r="K220" s="832"/>
      <c r="L220" s="964">
        <v>3618.43</v>
      </c>
      <c r="M220" s="964">
        <v>0</v>
      </c>
      <c r="N220" s="964">
        <v>210</v>
      </c>
      <c r="O220" s="963">
        <v>2630</v>
      </c>
      <c r="P220" s="654" t="s">
        <v>811</v>
      </c>
      <c r="Q220" s="964">
        <v>0</v>
      </c>
      <c r="R220" s="964">
        <v>0</v>
      </c>
      <c r="S220" s="964"/>
    </row>
    <row r="221" spans="1:19" x14ac:dyDescent="0.2">
      <c r="A221" s="945">
        <v>4498</v>
      </c>
      <c r="B221" s="950" t="s">
        <v>217</v>
      </c>
      <c r="E221" s="964">
        <v>5794.78</v>
      </c>
      <c r="F221" s="964">
        <v>97</v>
      </c>
      <c r="G221" s="964">
        <v>447885</v>
      </c>
      <c r="H221" s="964">
        <v>242.61000000000013</v>
      </c>
      <c r="I221" s="964">
        <v>9815</v>
      </c>
      <c r="J221" s="832"/>
      <c r="K221" s="832"/>
      <c r="L221" s="964">
        <v>-1788.6</v>
      </c>
      <c r="M221" s="964">
        <v>0</v>
      </c>
      <c r="N221" s="964">
        <v>97</v>
      </c>
      <c r="O221" s="963">
        <v>3660</v>
      </c>
      <c r="P221" s="654" t="s">
        <v>811</v>
      </c>
      <c r="Q221" s="964">
        <v>0</v>
      </c>
      <c r="R221" s="964">
        <v>0</v>
      </c>
      <c r="S221" s="964"/>
    </row>
    <row r="222" spans="1:19" x14ac:dyDescent="0.2">
      <c r="A222" s="945">
        <v>1688</v>
      </c>
      <c r="B222" s="950" t="s">
        <v>218</v>
      </c>
      <c r="E222" s="964">
        <v>18519.400000000001</v>
      </c>
      <c r="F222" s="964">
        <v>310</v>
      </c>
      <c r="G222" s="964">
        <v>1183705</v>
      </c>
      <c r="H222" s="964">
        <v>775.29999999999927</v>
      </c>
      <c r="I222" s="964">
        <v>21413</v>
      </c>
      <c r="J222" s="832"/>
      <c r="K222" s="832"/>
      <c r="L222" s="964">
        <v>20966.330000000002</v>
      </c>
      <c r="M222" s="964">
        <v>0</v>
      </c>
      <c r="N222" s="964">
        <v>310</v>
      </c>
      <c r="O222" s="963">
        <v>2210</v>
      </c>
      <c r="P222" s="654" t="s">
        <v>811</v>
      </c>
      <c r="Q222" s="964">
        <v>0</v>
      </c>
      <c r="R222" s="964">
        <v>0</v>
      </c>
      <c r="S222" s="964"/>
    </row>
    <row r="223" spans="1:19" x14ac:dyDescent="0.2">
      <c r="A223" s="945">
        <v>4150</v>
      </c>
      <c r="B223" s="950" t="s">
        <v>219</v>
      </c>
      <c r="E223" s="964">
        <v>11888.26</v>
      </c>
      <c r="F223" s="964">
        <v>199</v>
      </c>
      <c r="G223" s="964">
        <v>750739</v>
      </c>
      <c r="H223" s="964">
        <v>497.86999999999989</v>
      </c>
      <c r="I223" s="964">
        <v>17717</v>
      </c>
      <c r="J223" s="832"/>
      <c r="K223" s="832"/>
      <c r="L223" s="964">
        <v>3903.9</v>
      </c>
      <c r="M223" s="964">
        <v>0</v>
      </c>
      <c r="N223" s="964">
        <v>198</v>
      </c>
      <c r="O223" s="963">
        <v>3814</v>
      </c>
      <c r="P223" s="654" t="s">
        <v>811</v>
      </c>
      <c r="Q223" s="964">
        <v>0</v>
      </c>
      <c r="R223" s="964">
        <v>0</v>
      </c>
      <c r="S223" s="964"/>
    </row>
    <row r="224" spans="1:19" x14ac:dyDescent="0.2">
      <c r="A224" s="945">
        <v>3680</v>
      </c>
      <c r="B224" s="950" t="s">
        <v>220</v>
      </c>
      <c r="E224" s="964">
        <v>11828.52</v>
      </c>
      <c r="F224" s="964">
        <v>198</v>
      </c>
      <c r="G224" s="964">
        <v>1043918</v>
      </c>
      <c r="H224" s="964">
        <v>494.73999999999978</v>
      </c>
      <c r="I224" s="964">
        <v>16698</v>
      </c>
      <c r="J224" s="832"/>
      <c r="K224" s="832"/>
      <c r="L224" s="964">
        <v>30927</v>
      </c>
      <c r="M224" s="964">
        <v>237430</v>
      </c>
      <c r="N224" s="964">
        <v>198</v>
      </c>
      <c r="O224" s="963">
        <v>3251</v>
      </c>
      <c r="P224" s="654" t="s">
        <v>811</v>
      </c>
      <c r="Q224" s="964">
        <v>0</v>
      </c>
      <c r="R224" s="964">
        <v>0</v>
      </c>
      <c r="S224" s="964"/>
    </row>
    <row r="225" spans="1:19" x14ac:dyDescent="0.2">
      <c r="A225" s="947">
        <v>4550</v>
      </c>
      <c r="B225" s="950" t="s">
        <v>221</v>
      </c>
      <c r="E225" s="964">
        <v>13919.42</v>
      </c>
      <c r="F225" s="964">
        <v>233</v>
      </c>
      <c r="G225" s="964">
        <v>906377</v>
      </c>
      <c r="H225" s="964">
        <v>591.37978135444428</v>
      </c>
      <c r="I225" s="964">
        <v>26512</v>
      </c>
      <c r="J225" s="832"/>
      <c r="K225" s="832"/>
      <c r="L225" s="964">
        <v>5746.25</v>
      </c>
      <c r="M225" s="964">
        <v>0</v>
      </c>
      <c r="N225" s="964">
        <v>233</v>
      </c>
      <c r="O225" s="963">
        <v>5270</v>
      </c>
      <c r="P225" s="654" t="s">
        <v>857</v>
      </c>
      <c r="Q225" s="964">
        <v>0</v>
      </c>
      <c r="R225" s="964">
        <v>0</v>
      </c>
      <c r="S225" s="964"/>
    </row>
    <row r="226" spans="1:19" x14ac:dyDescent="0.2">
      <c r="A226" s="945">
        <v>4600</v>
      </c>
      <c r="B226" s="950" t="s">
        <v>222</v>
      </c>
      <c r="E226" s="964">
        <v>6451.92</v>
      </c>
      <c r="F226" s="964">
        <v>108</v>
      </c>
      <c r="G226" s="964">
        <v>565545</v>
      </c>
      <c r="H226" s="964">
        <v>274.29191582094381</v>
      </c>
      <c r="I226" s="964">
        <v>6246</v>
      </c>
      <c r="J226" s="832"/>
      <c r="K226" s="832"/>
      <c r="L226" s="964">
        <v>19760</v>
      </c>
      <c r="M226" s="964">
        <v>0</v>
      </c>
      <c r="N226" s="964">
        <v>106</v>
      </c>
      <c r="O226" s="963">
        <v>2261</v>
      </c>
      <c r="P226" s="654" t="s">
        <v>857</v>
      </c>
      <c r="Q226" s="964">
        <v>0</v>
      </c>
      <c r="R226" s="964">
        <v>0</v>
      </c>
      <c r="S226" s="964"/>
    </row>
    <row r="227" spans="1:19" x14ac:dyDescent="0.2">
      <c r="A227" s="945">
        <v>4724</v>
      </c>
      <c r="B227" s="950" t="s">
        <v>223</v>
      </c>
      <c r="E227" s="964">
        <v>6212.96</v>
      </c>
      <c r="F227" s="964">
        <v>104</v>
      </c>
      <c r="G227" s="964">
        <v>470354</v>
      </c>
      <c r="H227" s="964">
        <v>259.52</v>
      </c>
      <c r="I227" s="964">
        <v>10580</v>
      </c>
      <c r="J227" s="832"/>
      <c r="K227" s="832"/>
      <c r="L227" s="964">
        <v>9360.5</v>
      </c>
      <c r="M227" s="964">
        <v>0</v>
      </c>
      <c r="N227" s="964">
        <v>103</v>
      </c>
      <c r="O227" s="963">
        <v>3820</v>
      </c>
      <c r="P227" s="654" t="s">
        <v>811</v>
      </c>
      <c r="Q227" s="964">
        <v>0</v>
      </c>
      <c r="R227" s="964">
        <v>0</v>
      </c>
      <c r="S227" s="964"/>
    </row>
    <row r="228" spans="1:19" x14ac:dyDescent="0.2">
      <c r="A228" s="947">
        <v>4652</v>
      </c>
      <c r="B228" s="950" t="s">
        <v>865</v>
      </c>
      <c r="E228" s="964">
        <v>35784.26</v>
      </c>
      <c r="F228" s="964">
        <v>599</v>
      </c>
      <c r="G228" s="964">
        <v>2149937</v>
      </c>
      <c r="H228" s="964">
        <v>1520.8690516365314</v>
      </c>
      <c r="I228" s="964">
        <v>51749</v>
      </c>
      <c r="J228" s="832"/>
      <c r="K228" s="832"/>
      <c r="L228" s="964">
        <v>47296.49</v>
      </c>
      <c r="M228" s="964">
        <v>0</v>
      </c>
      <c r="N228" s="964">
        <v>598</v>
      </c>
      <c r="O228" s="963">
        <v>5246</v>
      </c>
      <c r="P228" s="654" t="s">
        <v>857</v>
      </c>
      <c r="Q228" s="964">
        <v>0</v>
      </c>
      <c r="R228" s="964">
        <v>0</v>
      </c>
      <c r="S228" s="964"/>
    </row>
    <row r="229" spans="1:19" x14ac:dyDescent="0.2">
      <c r="A229" s="947">
        <v>4680</v>
      </c>
      <c r="B229" s="950" t="s">
        <v>224</v>
      </c>
      <c r="E229" s="964">
        <v>14636.300000000001</v>
      </c>
      <c r="F229" s="964">
        <v>245</v>
      </c>
      <c r="G229" s="964">
        <v>1010370</v>
      </c>
      <c r="H229" s="964">
        <v>612.84999999999945</v>
      </c>
      <c r="I229" s="964">
        <v>14531</v>
      </c>
      <c r="J229" s="832"/>
      <c r="K229" s="832"/>
      <c r="L229" s="964">
        <v>5746.04</v>
      </c>
      <c r="M229" s="964">
        <v>0</v>
      </c>
      <c r="N229" s="964">
        <v>244</v>
      </c>
      <c r="O229" s="963">
        <v>5260</v>
      </c>
      <c r="P229" s="654" t="s">
        <v>811</v>
      </c>
      <c r="Q229" s="964">
        <v>0</v>
      </c>
      <c r="R229" s="964">
        <v>0</v>
      </c>
      <c r="S229" s="964"/>
    </row>
    <row r="230" spans="1:19" x14ac:dyDescent="0.2">
      <c r="A230" s="945">
        <v>1430</v>
      </c>
      <c r="B230" s="950" t="s">
        <v>225</v>
      </c>
      <c r="E230" s="964">
        <v>13715.308333333334</v>
      </c>
      <c r="F230" s="964">
        <v>229.58333333333334</v>
      </c>
      <c r="G230" s="964">
        <v>878300</v>
      </c>
      <c r="H230" s="964">
        <v>583.22471302986014</v>
      </c>
      <c r="I230" s="964">
        <v>20139</v>
      </c>
      <c r="J230" s="832"/>
      <c r="K230" s="832"/>
      <c r="L230" s="964">
        <v>11107.8</v>
      </c>
      <c r="M230" s="964">
        <v>0</v>
      </c>
      <c r="N230" s="964">
        <v>229.58333333333334</v>
      </c>
      <c r="O230" s="963">
        <v>2919</v>
      </c>
      <c r="P230" s="654" t="s">
        <v>857</v>
      </c>
      <c r="Q230" s="964">
        <v>0</v>
      </c>
      <c r="R230" s="964">
        <v>0</v>
      </c>
      <c r="S230" s="964"/>
    </row>
    <row r="231" spans="1:19" x14ac:dyDescent="0.2">
      <c r="A231" s="945">
        <v>3336</v>
      </c>
      <c r="B231" s="950" t="s">
        <v>226</v>
      </c>
      <c r="E231" s="964">
        <v>24792.100000000002</v>
      </c>
      <c r="F231" s="964">
        <v>415</v>
      </c>
      <c r="G231" s="964">
        <v>1485256</v>
      </c>
      <c r="H231" s="964">
        <v>1037.9499999999989</v>
      </c>
      <c r="I231" s="964">
        <v>38493</v>
      </c>
      <c r="J231" s="832"/>
      <c r="K231" s="832"/>
      <c r="L231" s="964">
        <v>55007.8</v>
      </c>
      <c r="M231" s="964">
        <v>0</v>
      </c>
      <c r="N231" s="964">
        <v>414</v>
      </c>
      <c r="O231" s="963">
        <v>2649</v>
      </c>
      <c r="P231" s="654" t="s">
        <v>811</v>
      </c>
      <c r="Q231" s="964">
        <v>0</v>
      </c>
      <c r="R231" s="964">
        <v>0</v>
      </c>
      <c r="S231" s="964"/>
    </row>
    <row r="232" spans="1:19" x14ac:dyDescent="0.2">
      <c r="A232" s="945">
        <v>4706</v>
      </c>
      <c r="B232" s="950" t="s">
        <v>227</v>
      </c>
      <c r="E232" s="964">
        <v>8229.1849999999995</v>
      </c>
      <c r="F232" s="964">
        <v>137.75</v>
      </c>
      <c r="G232" s="964">
        <v>604545</v>
      </c>
      <c r="H232" s="964">
        <v>349.93482781791772</v>
      </c>
      <c r="I232" s="964">
        <v>15550</v>
      </c>
      <c r="J232" s="832"/>
      <c r="K232" s="832"/>
      <c r="L232" s="964">
        <v>12110.79</v>
      </c>
      <c r="M232" s="964">
        <v>0</v>
      </c>
      <c r="N232" s="964">
        <v>137.75</v>
      </c>
      <c r="O232" s="963">
        <v>2624</v>
      </c>
      <c r="P232" s="654" t="s">
        <v>857</v>
      </c>
      <c r="Q232" s="964">
        <v>0</v>
      </c>
      <c r="R232" s="964">
        <v>0</v>
      </c>
      <c r="S232" s="964"/>
    </row>
    <row r="233" spans="1:19" x14ac:dyDescent="0.2">
      <c r="A233" s="945">
        <v>1690</v>
      </c>
      <c r="B233" s="950" t="s">
        <v>228</v>
      </c>
      <c r="E233" s="964">
        <v>35545.300000000003</v>
      </c>
      <c r="F233" s="964">
        <v>595</v>
      </c>
      <c r="G233" s="964">
        <v>2114803</v>
      </c>
      <c r="H233" s="964">
        <v>1487.3499999999985</v>
      </c>
      <c r="I233" s="964">
        <v>44356</v>
      </c>
      <c r="J233" s="832"/>
      <c r="K233" s="832"/>
      <c r="L233" s="964">
        <v>7227.92</v>
      </c>
      <c r="M233" s="964">
        <v>0</v>
      </c>
      <c r="N233" s="964">
        <v>595</v>
      </c>
      <c r="O233" s="963">
        <v>2879</v>
      </c>
      <c r="P233" s="654" t="s">
        <v>811</v>
      </c>
      <c r="Q233" s="964">
        <v>0</v>
      </c>
      <c r="R233" s="964">
        <v>0</v>
      </c>
      <c r="S233" s="964"/>
    </row>
    <row r="234" spans="1:19" x14ac:dyDescent="0.2">
      <c r="A234" s="945">
        <v>4734</v>
      </c>
      <c r="B234" s="950" t="s">
        <v>229</v>
      </c>
      <c r="E234" s="964">
        <v>4719.46</v>
      </c>
      <c r="F234" s="964">
        <v>79</v>
      </c>
      <c r="G234" s="964">
        <v>390801</v>
      </c>
      <c r="H234" s="964">
        <v>197.26999999999998</v>
      </c>
      <c r="I234" s="964">
        <v>5864</v>
      </c>
      <c r="J234" s="832"/>
      <c r="K234" s="832"/>
      <c r="L234" s="964">
        <v>5219.82</v>
      </c>
      <c r="M234" s="964">
        <v>0</v>
      </c>
      <c r="N234" s="964">
        <v>79</v>
      </c>
      <c r="O234" s="963">
        <v>3212</v>
      </c>
      <c r="P234" s="654" t="s">
        <v>811</v>
      </c>
      <c r="Q234" s="964">
        <v>0</v>
      </c>
      <c r="R234" s="964">
        <v>0</v>
      </c>
      <c r="S234" s="964"/>
    </row>
    <row r="235" spans="1:19" x14ac:dyDescent="0.2">
      <c r="A235" s="945">
        <v>1384</v>
      </c>
      <c r="B235" s="950" t="s">
        <v>230</v>
      </c>
      <c r="E235" s="964">
        <v>36321.919999999998</v>
      </c>
      <c r="F235" s="964">
        <v>608</v>
      </c>
      <c r="G235" s="964">
        <v>2033910</v>
      </c>
      <c r="H235" s="964">
        <v>1520.0400000000027</v>
      </c>
      <c r="I235" s="964">
        <v>55955</v>
      </c>
      <c r="J235" s="832"/>
      <c r="K235" s="832"/>
      <c r="L235" s="964">
        <v>54756</v>
      </c>
      <c r="M235" s="964">
        <v>0</v>
      </c>
      <c r="N235" s="964">
        <v>604</v>
      </c>
      <c r="O235" s="963">
        <v>2767</v>
      </c>
      <c r="P235" s="654" t="s">
        <v>811</v>
      </c>
      <c r="Q235" s="964">
        <v>0</v>
      </c>
      <c r="R235" s="964">
        <v>0</v>
      </c>
      <c r="S235" s="964"/>
    </row>
    <row r="236" spans="1:19" x14ac:dyDescent="0.2">
      <c r="A236" s="945">
        <v>4744</v>
      </c>
      <c r="B236" s="950" t="s">
        <v>231</v>
      </c>
      <c r="E236" s="964">
        <v>6392.18</v>
      </c>
      <c r="F236" s="964">
        <v>107</v>
      </c>
      <c r="G236" s="964">
        <v>491569</v>
      </c>
      <c r="H236" s="964">
        <v>267.90999999999985</v>
      </c>
      <c r="I236" s="964">
        <v>9815</v>
      </c>
      <c r="J236" s="832"/>
      <c r="K236" s="832"/>
      <c r="L236" s="964">
        <v>15684.5</v>
      </c>
      <c r="M236" s="964">
        <v>0</v>
      </c>
      <c r="N236" s="964">
        <v>107</v>
      </c>
      <c r="O236" s="963">
        <v>3213</v>
      </c>
      <c r="P236" s="654" t="s">
        <v>811</v>
      </c>
      <c r="Q236" s="964">
        <v>0</v>
      </c>
      <c r="R236" s="964">
        <v>0</v>
      </c>
      <c r="S236" s="964"/>
    </row>
    <row r="237" spans="1:19" x14ac:dyDescent="0.2">
      <c r="A237" s="945">
        <v>4754</v>
      </c>
      <c r="B237" s="950" t="s">
        <v>936</v>
      </c>
      <c r="E237" s="964">
        <v>32976.480000000003</v>
      </c>
      <c r="F237" s="964">
        <v>552</v>
      </c>
      <c r="G237" s="964">
        <v>2068195</v>
      </c>
      <c r="H237" s="964">
        <v>1401.4920141959319</v>
      </c>
      <c r="I237" s="964">
        <v>29443</v>
      </c>
      <c r="J237" s="832"/>
      <c r="K237" s="832"/>
      <c r="L237" s="964">
        <v>28559</v>
      </c>
      <c r="M237" s="964">
        <v>0</v>
      </c>
      <c r="N237" s="964">
        <v>552</v>
      </c>
      <c r="O237" s="963">
        <v>2271</v>
      </c>
      <c r="P237" s="654" t="s">
        <v>857</v>
      </c>
      <c r="Q237" s="964">
        <v>105000</v>
      </c>
      <c r="R237" s="964">
        <v>0</v>
      </c>
      <c r="S237" s="964"/>
    </row>
    <row r="238" spans="1:19" x14ac:dyDescent="0.2">
      <c r="A238" s="945">
        <v>1582</v>
      </c>
      <c r="B238" s="950" t="s">
        <v>232</v>
      </c>
      <c r="E238" s="964">
        <v>23896</v>
      </c>
      <c r="F238" s="964">
        <v>400</v>
      </c>
      <c r="G238" s="964">
        <v>1528769</v>
      </c>
      <c r="H238" s="964">
        <v>1000</v>
      </c>
      <c r="I238" s="964">
        <v>22306</v>
      </c>
      <c r="J238" s="832"/>
      <c r="K238" s="832"/>
      <c r="L238" s="964">
        <v>13553.73</v>
      </c>
      <c r="M238" s="964">
        <v>0</v>
      </c>
      <c r="N238" s="964">
        <v>395</v>
      </c>
      <c r="O238" s="963">
        <v>2998</v>
      </c>
      <c r="P238" s="654" t="s">
        <v>811</v>
      </c>
      <c r="Q238" s="964">
        <v>0</v>
      </c>
      <c r="R238" s="964">
        <v>0</v>
      </c>
      <c r="S238" s="964"/>
    </row>
    <row r="239" spans="1:19" x14ac:dyDescent="0.2">
      <c r="A239" s="945">
        <v>2988</v>
      </c>
      <c r="B239" s="950" t="s">
        <v>233</v>
      </c>
      <c r="E239" s="964">
        <v>12366.18</v>
      </c>
      <c r="F239" s="964">
        <v>207</v>
      </c>
      <c r="G239" s="964">
        <v>783845</v>
      </c>
      <c r="H239" s="964">
        <v>525.80950532347561</v>
      </c>
      <c r="I239" s="964">
        <v>14531</v>
      </c>
      <c r="J239" s="832"/>
      <c r="K239" s="832"/>
      <c r="L239" s="964">
        <v>-23317.43</v>
      </c>
      <c r="M239" s="964">
        <v>0</v>
      </c>
      <c r="N239" s="964">
        <v>207</v>
      </c>
      <c r="O239" s="963">
        <v>2918</v>
      </c>
      <c r="P239" s="654" t="s">
        <v>857</v>
      </c>
      <c r="Q239" s="964">
        <v>0</v>
      </c>
      <c r="R239" s="964">
        <v>0</v>
      </c>
      <c r="S239" s="964"/>
    </row>
    <row r="240" spans="1:19" x14ac:dyDescent="0.2">
      <c r="A240" s="945">
        <v>4810</v>
      </c>
      <c r="B240" s="950" t="s">
        <v>234</v>
      </c>
      <c r="E240" s="964">
        <v>6153.22</v>
      </c>
      <c r="F240" s="964">
        <v>103</v>
      </c>
      <c r="G240" s="964">
        <v>475963</v>
      </c>
      <c r="H240" s="964">
        <v>257.38999999999987</v>
      </c>
      <c r="I240" s="964">
        <v>11472</v>
      </c>
      <c r="J240" s="832"/>
      <c r="K240" s="832"/>
      <c r="L240" s="964">
        <v>14335.97</v>
      </c>
      <c r="M240" s="964">
        <v>0</v>
      </c>
      <c r="N240" s="964">
        <v>100</v>
      </c>
      <c r="O240" s="963">
        <v>2770</v>
      </c>
      <c r="P240" s="654" t="s">
        <v>811</v>
      </c>
      <c r="Q240" s="964">
        <v>0</v>
      </c>
      <c r="R240" s="964">
        <v>0</v>
      </c>
      <c r="S240" s="964"/>
    </row>
    <row r="241" spans="1:19" x14ac:dyDescent="0.2">
      <c r="A241" s="945">
        <v>4864</v>
      </c>
      <c r="B241" s="950" t="s">
        <v>235</v>
      </c>
      <c r="E241" s="964">
        <v>6989.58</v>
      </c>
      <c r="F241" s="964">
        <v>117</v>
      </c>
      <c r="G241" s="964">
        <v>803705</v>
      </c>
      <c r="H241" s="964">
        <v>292.21000000000004</v>
      </c>
      <c r="I241" s="964">
        <v>11599</v>
      </c>
      <c r="J241" s="832"/>
      <c r="K241" s="832"/>
      <c r="L241" s="964">
        <v>16302</v>
      </c>
      <c r="M241" s="964">
        <v>237430</v>
      </c>
      <c r="N241" s="964">
        <v>116</v>
      </c>
      <c r="O241" s="963">
        <v>2051</v>
      </c>
      <c r="P241" s="654" t="s">
        <v>811</v>
      </c>
      <c r="Q241" s="964">
        <v>0</v>
      </c>
      <c r="R241" s="964">
        <v>0</v>
      </c>
      <c r="S241" s="964"/>
    </row>
    <row r="242" spans="1:19" x14ac:dyDescent="0.2">
      <c r="A242" s="945">
        <v>1642</v>
      </c>
      <c r="B242" s="950" t="s">
        <v>236</v>
      </c>
      <c r="E242" s="964">
        <v>0</v>
      </c>
      <c r="F242" s="964">
        <v>0</v>
      </c>
      <c r="G242" s="964">
        <v>0</v>
      </c>
      <c r="H242" s="964">
        <v>0</v>
      </c>
      <c r="I242" s="964">
        <v>0</v>
      </c>
      <c r="J242" s="832"/>
      <c r="K242" s="832"/>
      <c r="L242" s="964">
        <v>0</v>
      </c>
      <c r="M242" s="964">
        <v>0</v>
      </c>
      <c r="N242" s="964">
        <v>0</v>
      </c>
      <c r="O242" s="963">
        <v>1001</v>
      </c>
      <c r="P242" s="654" t="s">
        <v>811</v>
      </c>
      <c r="Q242" s="964">
        <v>0</v>
      </c>
      <c r="R242" s="964">
        <v>0</v>
      </c>
      <c r="S242" s="964"/>
    </row>
    <row r="243" spans="1:19" x14ac:dyDescent="0.2">
      <c r="A243" s="945">
        <v>4880</v>
      </c>
      <c r="B243" s="950" t="s">
        <v>237</v>
      </c>
      <c r="E243" s="964">
        <v>5914.26</v>
      </c>
      <c r="F243" s="964">
        <v>99</v>
      </c>
      <c r="G243" s="964">
        <v>461777</v>
      </c>
      <c r="H243" s="964">
        <v>247.86999999999989</v>
      </c>
      <c r="I243" s="964">
        <v>8285</v>
      </c>
      <c r="J243" s="832"/>
      <c r="K243" s="832"/>
      <c r="L243" s="964">
        <v>3838.68</v>
      </c>
      <c r="M243" s="964">
        <v>0</v>
      </c>
      <c r="N243" s="964">
        <v>99</v>
      </c>
      <c r="O243" s="963">
        <v>3235</v>
      </c>
      <c r="P243" s="654" t="s">
        <v>811</v>
      </c>
      <c r="Q243" s="964">
        <v>0</v>
      </c>
      <c r="R243" s="964">
        <v>0</v>
      </c>
      <c r="S243" s="964"/>
    </row>
    <row r="244" spans="1:19" x14ac:dyDescent="0.2">
      <c r="A244" s="945">
        <v>4898</v>
      </c>
      <c r="B244" s="950" t="s">
        <v>238</v>
      </c>
      <c r="E244" s="964">
        <v>10812.94</v>
      </c>
      <c r="F244" s="964">
        <v>181</v>
      </c>
      <c r="G244" s="964">
        <v>727880</v>
      </c>
      <c r="H244" s="964">
        <v>452.52999999999975</v>
      </c>
      <c r="I244" s="964">
        <v>39385</v>
      </c>
      <c r="J244" s="832"/>
      <c r="K244" s="832"/>
      <c r="L244" s="964">
        <v>10274.709999999999</v>
      </c>
      <c r="M244" s="964">
        <v>0</v>
      </c>
      <c r="N244" s="964">
        <v>181</v>
      </c>
      <c r="O244" s="963">
        <v>2619</v>
      </c>
      <c r="P244" s="654" t="s">
        <v>811</v>
      </c>
      <c r="Q244" s="964">
        <v>0</v>
      </c>
      <c r="R244" s="964">
        <v>0</v>
      </c>
      <c r="S244" s="964"/>
    </row>
    <row r="245" spans="1:19" x14ac:dyDescent="0.2">
      <c r="A245" s="945">
        <v>4896</v>
      </c>
      <c r="B245" s="950" t="s">
        <v>239</v>
      </c>
      <c r="E245" s="964">
        <v>14277.86</v>
      </c>
      <c r="F245" s="964">
        <v>239</v>
      </c>
      <c r="G245" s="964">
        <v>917692</v>
      </c>
      <c r="H245" s="964">
        <v>597.06999999999971</v>
      </c>
      <c r="I245" s="964">
        <v>0</v>
      </c>
      <c r="J245" s="832"/>
      <c r="K245" s="832"/>
      <c r="L245" s="964">
        <v>19328.830000000002</v>
      </c>
      <c r="M245" s="964">
        <v>0</v>
      </c>
      <c r="N245" s="964">
        <v>239</v>
      </c>
      <c r="O245" s="963">
        <v>2950</v>
      </c>
      <c r="P245" s="654" t="s">
        <v>811</v>
      </c>
      <c r="Q245" s="964">
        <v>0</v>
      </c>
      <c r="R245" s="964">
        <v>0</v>
      </c>
      <c r="S245" s="964"/>
    </row>
    <row r="246" spans="1:19" s="959" customFormat="1" x14ac:dyDescent="0.2">
      <c r="A246" s="955">
        <v>1234</v>
      </c>
      <c r="B246" s="956" t="s">
        <v>898</v>
      </c>
      <c r="C246" s="957"/>
      <c r="D246" s="957"/>
      <c r="E246" s="958">
        <f>E124</f>
        <v>12306.44</v>
      </c>
      <c r="F246" s="958">
        <f t="shared" ref="F246:R246" si="0">F124</f>
        <v>206</v>
      </c>
      <c r="G246" s="958">
        <f t="shared" si="0"/>
        <v>818508</v>
      </c>
      <c r="H246" s="958">
        <f t="shared" si="0"/>
        <v>514.77999999999975</v>
      </c>
      <c r="I246" s="958">
        <f t="shared" si="0"/>
        <v>19374</v>
      </c>
      <c r="J246" s="958">
        <f t="shared" si="0"/>
        <v>0</v>
      </c>
      <c r="K246" s="958">
        <f t="shared" si="0"/>
        <v>0</v>
      </c>
      <c r="L246" s="958">
        <f t="shared" si="0"/>
        <v>18145.43</v>
      </c>
      <c r="M246" s="958">
        <f t="shared" si="0"/>
        <v>0</v>
      </c>
      <c r="N246" s="958">
        <f t="shared" si="0"/>
        <v>206</v>
      </c>
      <c r="O246" s="960">
        <v>2006</v>
      </c>
      <c r="P246" s="958" t="str">
        <f t="shared" si="0"/>
        <v>N</v>
      </c>
      <c r="Q246" s="958">
        <f t="shared" si="0"/>
        <v>0</v>
      </c>
      <c r="R246" s="958">
        <f t="shared" si="0"/>
        <v>0</v>
      </c>
      <c r="S246" s="958"/>
    </row>
    <row r="247" spans="1:19" x14ac:dyDescent="0.2">
      <c r="A247" s="924"/>
      <c r="B247" s="953" t="s">
        <v>884</v>
      </c>
      <c r="C247" s="625"/>
      <c r="D247" s="625"/>
      <c r="E247" s="833"/>
      <c r="F247" s="833"/>
      <c r="G247" s="833"/>
      <c r="H247" s="833"/>
      <c r="I247" s="833"/>
      <c r="J247" s="833"/>
      <c r="K247" s="833"/>
      <c r="L247" s="833"/>
      <c r="M247" s="833"/>
      <c r="N247" s="833"/>
      <c r="P247" s="684"/>
      <c r="Q247" s="832"/>
      <c r="R247" s="832"/>
      <c r="S247" s="833"/>
    </row>
    <row r="248" spans="1:19" x14ac:dyDescent="0.2">
      <c r="A248" s="945">
        <v>7880</v>
      </c>
      <c r="B248" s="950" t="s">
        <v>240</v>
      </c>
      <c r="E248" s="964">
        <v>72703.58</v>
      </c>
      <c r="F248" s="964">
        <v>1217</v>
      </c>
      <c r="G248" s="965">
        <v>5969013</v>
      </c>
      <c r="H248" s="966">
        <v>1236.0290319588</v>
      </c>
      <c r="I248" s="964">
        <v>0</v>
      </c>
      <c r="J248" s="832"/>
      <c r="K248" s="832"/>
      <c r="L248" s="967">
        <v>18575.990000000002</v>
      </c>
      <c r="M248" s="964">
        <v>0</v>
      </c>
      <c r="N248" s="964">
        <v>1217</v>
      </c>
      <c r="O248" s="963">
        <v>5406</v>
      </c>
      <c r="P248" s="654" t="s">
        <v>857</v>
      </c>
      <c r="Q248" s="964">
        <v>0</v>
      </c>
      <c r="R248" s="964">
        <v>0</v>
      </c>
      <c r="S248" s="966"/>
    </row>
    <row r="249" spans="1:19" x14ac:dyDescent="0.2">
      <c r="A249" s="945">
        <v>5090</v>
      </c>
      <c r="B249" s="950" t="s">
        <v>241</v>
      </c>
      <c r="E249" s="964">
        <v>44147.86</v>
      </c>
      <c r="F249" s="964">
        <v>739</v>
      </c>
      <c r="G249" s="965">
        <v>4072372</v>
      </c>
      <c r="H249" s="966">
        <v>750.55501611960005</v>
      </c>
      <c r="I249" s="964">
        <v>0</v>
      </c>
      <c r="J249" s="832"/>
      <c r="K249" s="832"/>
      <c r="L249" s="967">
        <v>16528.199999999997</v>
      </c>
      <c r="M249" s="964">
        <v>0</v>
      </c>
      <c r="N249" s="964">
        <v>739</v>
      </c>
      <c r="O249" s="963">
        <v>4680</v>
      </c>
      <c r="P249" s="654" t="s">
        <v>857</v>
      </c>
      <c r="Q249" s="964">
        <v>0</v>
      </c>
      <c r="R249" s="964">
        <v>0</v>
      </c>
      <c r="S249" s="966"/>
    </row>
    <row r="250" spans="1:19" x14ac:dyDescent="0.2">
      <c r="A250" s="945">
        <v>5890</v>
      </c>
      <c r="B250" s="950" t="s">
        <v>242</v>
      </c>
      <c r="E250" s="964">
        <v>51675.1</v>
      </c>
      <c r="F250" s="964">
        <v>865</v>
      </c>
      <c r="G250" s="965">
        <v>4320059</v>
      </c>
      <c r="H250" s="966">
        <v>865</v>
      </c>
      <c r="I250" s="964">
        <v>0</v>
      </c>
      <c r="J250" s="832"/>
      <c r="K250" s="832"/>
      <c r="L250" s="967">
        <v>21768.6</v>
      </c>
      <c r="M250" s="964">
        <v>0</v>
      </c>
      <c r="N250" s="964">
        <v>865</v>
      </c>
      <c r="O250" s="963">
        <v>5466</v>
      </c>
      <c r="P250" s="654" t="s">
        <v>811</v>
      </c>
      <c r="Q250" s="964">
        <v>0</v>
      </c>
      <c r="R250" s="964">
        <v>0</v>
      </c>
      <c r="S250" s="966"/>
    </row>
    <row r="251" spans="1:19" x14ac:dyDescent="0.2">
      <c r="A251" s="945">
        <v>5690</v>
      </c>
      <c r="B251" s="950" t="s">
        <v>243</v>
      </c>
      <c r="E251" s="964">
        <v>56514.04</v>
      </c>
      <c r="F251" s="964">
        <v>946</v>
      </c>
      <c r="G251" s="965">
        <v>4678078</v>
      </c>
      <c r="H251" s="966">
        <v>946</v>
      </c>
      <c r="I251" s="964">
        <v>0</v>
      </c>
      <c r="J251" s="832"/>
      <c r="K251" s="832"/>
      <c r="L251" s="967">
        <v>36623.699999999997</v>
      </c>
      <c r="M251" s="964">
        <v>0</v>
      </c>
      <c r="N251" s="964">
        <v>946</v>
      </c>
      <c r="O251" s="963">
        <v>4701</v>
      </c>
      <c r="P251" s="654" t="s">
        <v>811</v>
      </c>
      <c r="Q251" s="964">
        <v>0</v>
      </c>
      <c r="R251" s="964">
        <v>0</v>
      </c>
      <c r="S251" s="966"/>
    </row>
    <row r="252" spans="1:19" x14ac:dyDescent="0.2">
      <c r="A252" s="922"/>
      <c r="B252" s="923"/>
      <c r="E252" s="832"/>
      <c r="F252" s="832"/>
      <c r="G252" s="832"/>
      <c r="H252" s="832"/>
      <c r="I252" s="832"/>
      <c r="J252" s="832"/>
      <c r="K252" s="832"/>
      <c r="L252" s="832"/>
      <c r="M252" s="832"/>
      <c r="N252" s="832"/>
      <c r="O252" s="925"/>
      <c r="Q252" s="832"/>
      <c r="R252" s="832"/>
      <c r="S252" s="832"/>
    </row>
    <row r="253" spans="1:19" ht="81.75" customHeight="1" x14ac:dyDescent="0.2">
      <c r="A253" s="922"/>
      <c r="B253" s="954" t="s">
        <v>883</v>
      </c>
      <c r="E253" s="961" t="str">
        <f>E1</f>
        <v>2019-20 De-delegation (ESG element)</v>
      </c>
      <c r="F253" s="832"/>
      <c r="G253" s="832"/>
      <c r="H253" s="832"/>
      <c r="I253" s="962" t="str">
        <f>I1</f>
        <v>Au/Sp element of UIFSM funding (paid Summer 2019) - excl transitional funding</v>
      </c>
      <c r="J253" s="832"/>
      <c r="K253" s="832"/>
      <c r="L253" s="962" t="str">
        <f>'Fin.Yr Lookups'!A16&amp;" Allowances &amp; London Weighting"</f>
        <v>2019-20 Allowances &amp; London Weighting</v>
      </c>
      <c r="M253" s="832"/>
      <c r="N253" s="832"/>
      <c r="O253" s="948" t="s">
        <v>866</v>
      </c>
      <c r="Q253" s="832"/>
      <c r="R253" s="832"/>
      <c r="S253" s="832"/>
    </row>
    <row r="254" spans="1:19" x14ac:dyDescent="0.2">
      <c r="A254" s="945">
        <v>8013</v>
      </c>
      <c r="B254" s="950" t="s">
        <v>841</v>
      </c>
      <c r="E254" s="964">
        <v>9020.74</v>
      </c>
      <c r="F254" s="968"/>
      <c r="G254" s="968"/>
      <c r="H254" s="968"/>
      <c r="I254" s="964">
        <v>765</v>
      </c>
      <c r="J254" s="832"/>
      <c r="K254" s="832"/>
      <c r="L254" s="964">
        <v>14613</v>
      </c>
      <c r="M254" s="832"/>
      <c r="N254" s="832"/>
      <c r="O254" s="963">
        <v>7036</v>
      </c>
      <c r="Q254" s="832"/>
      <c r="R254" s="832"/>
      <c r="S254" s="968"/>
    </row>
    <row r="255" spans="1:19" x14ac:dyDescent="0.2">
      <c r="A255" s="945">
        <v>8019</v>
      </c>
      <c r="B255" s="950" t="s">
        <v>842</v>
      </c>
      <c r="E255" s="964">
        <v>13979.16</v>
      </c>
      <c r="F255" s="968"/>
      <c r="G255" s="968"/>
      <c r="H255" s="968"/>
      <c r="I255" s="964">
        <v>3442</v>
      </c>
      <c r="J255" s="832"/>
      <c r="K255" s="832"/>
      <c r="L255" s="964">
        <v>17743</v>
      </c>
      <c r="M255" s="832"/>
      <c r="N255" s="832"/>
      <c r="O255" s="963">
        <v>7048</v>
      </c>
      <c r="Q255" s="832"/>
      <c r="R255" s="832"/>
      <c r="S255" s="968"/>
    </row>
    <row r="256" spans="1:19" x14ac:dyDescent="0.2">
      <c r="A256" s="945">
        <v>8014</v>
      </c>
      <c r="B256" s="950" t="s">
        <v>843</v>
      </c>
      <c r="E256" s="964">
        <v>12903.84</v>
      </c>
      <c r="F256" s="968"/>
      <c r="G256" s="968"/>
      <c r="H256" s="968"/>
      <c r="I256" s="964">
        <v>13129</v>
      </c>
      <c r="J256" s="832"/>
      <c r="K256" s="832"/>
      <c r="L256" s="964">
        <v>14222</v>
      </c>
      <c r="M256" s="832"/>
      <c r="N256" s="832"/>
      <c r="O256" s="963">
        <v>7054</v>
      </c>
      <c r="Q256" s="832"/>
      <c r="R256" s="832"/>
      <c r="S256" s="968"/>
    </row>
    <row r="257" spans="1:19" x14ac:dyDescent="0.2">
      <c r="A257" s="945">
        <v>8061</v>
      </c>
      <c r="B257" s="950" t="s">
        <v>244</v>
      </c>
      <c r="E257" s="964">
        <v>9379.18</v>
      </c>
      <c r="F257" s="968"/>
      <c r="G257" s="968"/>
      <c r="H257" s="968"/>
      <c r="I257" s="964">
        <v>4971</v>
      </c>
      <c r="J257" s="832"/>
      <c r="K257" s="832"/>
      <c r="L257" s="964">
        <v>36763</v>
      </c>
      <c r="M257" s="832"/>
      <c r="N257" s="832"/>
      <c r="O257" s="963">
        <v>7070</v>
      </c>
      <c r="Q257" s="832"/>
      <c r="R257" s="832"/>
      <c r="S257" s="968"/>
    </row>
    <row r="258" spans="1:19" x14ac:dyDescent="0.2">
      <c r="A258" s="945">
        <v>8048</v>
      </c>
      <c r="B258" s="951" t="s">
        <v>844</v>
      </c>
      <c r="E258" s="964">
        <v>9976.58</v>
      </c>
      <c r="F258" s="968"/>
      <c r="G258" s="968"/>
      <c r="H258" s="968"/>
      <c r="I258" s="964">
        <v>8158</v>
      </c>
      <c r="J258" s="832"/>
      <c r="K258" s="832"/>
      <c r="L258" s="964">
        <v>16373</v>
      </c>
      <c r="M258" s="832"/>
      <c r="N258" s="832"/>
      <c r="O258" s="963">
        <v>7069</v>
      </c>
      <c r="Q258" s="832"/>
      <c r="R258" s="832"/>
      <c r="S258" s="968"/>
    </row>
    <row r="259" spans="1:19" x14ac:dyDescent="0.2">
      <c r="A259" s="945">
        <v>8040</v>
      </c>
      <c r="B259" s="950" t="s">
        <v>845</v>
      </c>
      <c r="E259" s="964">
        <v>7945.42</v>
      </c>
      <c r="F259" s="968"/>
      <c r="G259" s="968"/>
      <c r="H259" s="968"/>
      <c r="I259" s="964">
        <v>4079</v>
      </c>
      <c r="J259" s="832"/>
      <c r="K259" s="832"/>
      <c r="L259" s="964">
        <v>18134</v>
      </c>
      <c r="M259" s="832"/>
      <c r="N259" s="832"/>
      <c r="O259" s="963">
        <v>7060</v>
      </c>
      <c r="Q259" s="832"/>
      <c r="R259" s="832"/>
      <c r="S259" s="968"/>
    </row>
    <row r="260" spans="1:19" x14ac:dyDescent="0.2">
      <c r="A260" s="945">
        <v>8071</v>
      </c>
      <c r="B260" s="951" t="s">
        <v>846</v>
      </c>
      <c r="E260" s="964">
        <v>2748.04</v>
      </c>
      <c r="F260" s="968"/>
      <c r="G260" s="968"/>
      <c r="H260" s="968"/>
      <c r="I260" s="964">
        <v>128</v>
      </c>
      <c r="J260" s="832"/>
      <c r="K260" s="832"/>
      <c r="L260" s="964">
        <v>19579</v>
      </c>
      <c r="M260" s="832"/>
      <c r="N260" s="832"/>
      <c r="O260" s="963">
        <v>7022</v>
      </c>
      <c r="Q260" s="832"/>
      <c r="R260" s="832"/>
      <c r="S260" s="968"/>
    </row>
    <row r="261" spans="1:19" x14ac:dyDescent="0.2">
      <c r="A261" s="945">
        <v>8106</v>
      </c>
      <c r="B261" s="952" t="s">
        <v>933</v>
      </c>
      <c r="E261" s="964">
        <v>11829</v>
      </c>
      <c r="F261" s="968"/>
      <c r="G261" s="968"/>
      <c r="H261" s="968"/>
      <c r="I261" s="964">
        <v>0</v>
      </c>
      <c r="J261" s="832"/>
      <c r="K261" s="832"/>
      <c r="L261" s="964">
        <v>156457</v>
      </c>
      <c r="M261" s="832"/>
      <c r="N261" s="832"/>
      <c r="O261" s="963">
        <v>1120</v>
      </c>
      <c r="Q261" s="832"/>
      <c r="R261" s="832"/>
      <c r="S261" s="968"/>
    </row>
    <row r="262" spans="1:19" x14ac:dyDescent="0.2">
      <c r="A262" s="945">
        <v>8148</v>
      </c>
      <c r="B262" s="951" t="s">
        <v>869</v>
      </c>
      <c r="E262" s="964">
        <v>0</v>
      </c>
      <c r="F262" s="968"/>
      <c r="G262" s="968"/>
      <c r="H262" s="968"/>
      <c r="I262" s="964">
        <v>0</v>
      </c>
      <c r="J262" s="832">
        <v>0</v>
      </c>
      <c r="K262" s="832">
        <v>0</v>
      </c>
      <c r="L262" s="964">
        <v>12656</v>
      </c>
      <c r="M262" s="832"/>
      <c r="N262" s="832"/>
      <c r="O262" s="963">
        <v>1115</v>
      </c>
      <c r="Q262" s="832"/>
      <c r="R262" s="832"/>
      <c r="S262" s="968"/>
    </row>
    <row r="263" spans="1:19" x14ac:dyDescent="0.2">
      <c r="A263" s="945">
        <v>8154</v>
      </c>
      <c r="B263" s="951" t="s">
        <v>882</v>
      </c>
      <c r="E263" s="964">
        <v>0</v>
      </c>
      <c r="F263" s="968"/>
      <c r="G263" s="968"/>
      <c r="H263" s="968"/>
      <c r="I263" s="964">
        <v>0</v>
      </c>
      <c r="J263" s="832"/>
      <c r="K263" s="832"/>
      <c r="L263" s="964">
        <v>7136</v>
      </c>
      <c r="M263" s="832"/>
      <c r="N263" s="832"/>
      <c r="O263" s="963">
        <v>1108</v>
      </c>
      <c r="Q263" s="832"/>
      <c r="R263" s="832"/>
      <c r="S263" s="968"/>
    </row>
  </sheetData>
  <autoFilter ref="A1:O263"/>
  <phoneticPr fontId="30" type="noConversion"/>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pageSetUpPr fitToPage="1"/>
  </sheetPr>
  <dimension ref="A1:W170"/>
  <sheetViews>
    <sheetView zoomScaleNormal="100" workbookViewId="0">
      <pane ySplit="16" topLeftCell="A17" activePane="bottomLeft" state="frozen"/>
      <selection activeCell="F27" sqref="F27"/>
      <selection pane="bottomLeft" activeCell="A17" sqref="A17"/>
    </sheetView>
  </sheetViews>
  <sheetFormatPr defaultColWidth="9.140625" defaultRowHeight="12.75" x14ac:dyDescent="0.2"/>
  <cols>
    <col min="1" max="1" width="63.7109375" style="494" customWidth="1"/>
    <col min="2" max="2" width="10.7109375" style="494" customWidth="1"/>
    <col min="3" max="3" width="10.140625" style="494" customWidth="1"/>
    <col min="4" max="4" width="11.28515625" style="494" customWidth="1"/>
    <col min="5" max="5" width="18.85546875" style="551" bestFit="1" customWidth="1"/>
    <col min="6" max="6" width="4.5703125" style="389" hidden="1" customWidth="1"/>
    <col min="7" max="7" width="6.85546875" style="389" customWidth="1"/>
    <col min="8" max="11" width="15.28515625" style="355" bestFit="1" customWidth="1"/>
    <col min="12" max="23" width="9.140625" style="355"/>
    <col min="24" max="16384" width="9.140625" style="494"/>
  </cols>
  <sheetData>
    <row r="1" spans="1:23" ht="17.25" customHeight="1" x14ac:dyDescent="0.25">
      <c r="A1" s="1188" t="str">
        <f>Summary!A1</f>
        <v>Matching Green CE P</v>
      </c>
      <c r="B1" s="1189"/>
      <c r="C1" s="1189"/>
      <c r="D1" s="1189"/>
      <c r="E1" s="1190"/>
      <c r="G1" s="355"/>
    </row>
    <row r="2" spans="1:23" ht="21.75" customHeight="1" thickBot="1" x14ac:dyDescent="0.3">
      <c r="A2" s="798" t="str">
        <f>"Estimated "&amp;'Fin.Yr Lookups'!A5&amp;" High Needs Block EHCP Funding Allocation"</f>
        <v>Estimated 2020-21 High Needs Block EHCP Funding Allocation</v>
      </c>
      <c r="B2" s="798"/>
      <c r="C2" s="799"/>
      <c r="D2" s="799"/>
      <c r="E2" s="800" t="s">
        <v>779</v>
      </c>
      <c r="G2" s="355"/>
    </row>
    <row r="3" spans="1:23" ht="27.75" customHeight="1" thickBot="1" x14ac:dyDescent="0.25">
      <c r="A3" s="1186" t="str">
        <f>"This sheet allows you to record estimated EHCP Funding. The funding total will then be shown on the Income worksheet."&amp;"
Enter each pupil's name and select the funded EHCP band. You will also need to enter a 'Y' in column C or D as appropriate for pupils who will "&amp;"only be at the school for part of the financial year.
"&amp;"Note that the actual budget share allocation will not include funding for pupils joining the school from the autumn term. Funding for "&amp;"these pupils will be received separately in the autumn and spring terms.  However, they can be included here to estimate total funding due for "&amp;'Fin.Yr Lookups'!A5&amp;"
As the "&amp;'Fin.Yr Lookups'!A5&amp;" EHCP band values are not yet known, this tool uses the same rates as for "&amp;'Fin.Yr Lookups'!A16&amp;".  These rates can be overtyped if/as necessary with the "&amp;'Fin.Yr Lookups'!A5&amp;" figures once this has been determined."</f>
        <v>This sheet allows you to record estimated EHCP Funding. The funding total will then be shown on the Income worksheet.
Enter each pupil's name and select the funded EHCP band. You will also need to enter a 'Y' in column C or D as appropriate for pupils who will only be at the school for part of the financial year.
Note that the actual budget share allocation will not include funding for pupils joining the school from the autumn term. Funding for these pupils will be received separately in the autumn and spring terms.  However, they can be included here to estimate total funding due for 2020-21
As the 2020-21 EHCP band values are not yet known, this tool uses the same rates as for 2019-20.  These rates can be overtyped if/as necessary with the 2020-21 figures once this has been determined.</v>
      </c>
      <c r="B3" s="1186"/>
      <c r="C3" s="1187"/>
      <c r="D3" s="836" t="s">
        <v>941</v>
      </c>
      <c r="E3" s="835" t="str">
        <f>"Estimated "&amp;'Fin.Yr Lookups'!A5&amp;" Band Value"</f>
        <v>Estimated 2020-21 Band Value</v>
      </c>
      <c r="G3" s="355"/>
      <c r="K3" s="536"/>
    </row>
    <row r="4" spans="1:23" ht="15" customHeight="1" x14ac:dyDescent="0.2">
      <c r="A4" s="1186"/>
      <c r="B4" s="1186"/>
      <c r="C4" s="1187"/>
      <c r="D4" s="837">
        <v>1</v>
      </c>
      <c r="E4" s="912">
        <v>1800</v>
      </c>
      <c r="G4" s="355"/>
      <c r="K4" s="536"/>
    </row>
    <row r="5" spans="1:23" ht="15" customHeight="1" x14ac:dyDescent="0.2">
      <c r="A5" s="1186"/>
      <c r="B5" s="1186"/>
      <c r="C5" s="1187"/>
      <c r="D5" s="838">
        <v>2</v>
      </c>
      <c r="E5" s="913">
        <v>2700</v>
      </c>
      <c r="G5" s="355"/>
      <c r="K5" s="536"/>
    </row>
    <row r="6" spans="1:23" ht="15" customHeight="1" x14ac:dyDescent="0.2">
      <c r="A6" s="1186"/>
      <c r="B6" s="1186"/>
      <c r="C6" s="1187"/>
      <c r="D6" s="838">
        <v>3</v>
      </c>
      <c r="E6" s="913">
        <v>4800</v>
      </c>
      <c r="G6" s="355"/>
      <c r="K6" s="536"/>
    </row>
    <row r="7" spans="1:23" ht="15" customHeight="1" x14ac:dyDescent="0.2">
      <c r="A7" s="1186"/>
      <c r="B7" s="1186"/>
      <c r="C7" s="1187"/>
      <c r="D7" s="838">
        <v>4</v>
      </c>
      <c r="E7" s="913">
        <v>7500</v>
      </c>
      <c r="G7" s="355"/>
      <c r="K7" s="536"/>
    </row>
    <row r="8" spans="1:23" ht="15" customHeight="1" x14ac:dyDescent="0.2">
      <c r="A8" s="1186"/>
      <c r="B8" s="1186"/>
      <c r="C8" s="1187"/>
      <c r="D8" s="838" t="s">
        <v>942</v>
      </c>
      <c r="E8" s="913">
        <v>8500</v>
      </c>
      <c r="G8" s="355"/>
      <c r="K8" s="536"/>
    </row>
    <row r="9" spans="1:23" ht="15" customHeight="1" x14ac:dyDescent="0.2">
      <c r="A9" s="1186"/>
      <c r="B9" s="1186"/>
      <c r="C9" s="1187"/>
      <c r="D9" s="838">
        <v>5</v>
      </c>
      <c r="E9" s="913">
        <v>10000</v>
      </c>
      <c r="G9" s="355"/>
      <c r="K9" s="536"/>
    </row>
    <row r="10" spans="1:23" ht="15" customHeight="1" x14ac:dyDescent="0.2">
      <c r="A10" s="1186"/>
      <c r="B10" s="1186"/>
      <c r="C10" s="1187"/>
      <c r="D10" s="838">
        <v>6</v>
      </c>
      <c r="E10" s="913">
        <v>15000</v>
      </c>
      <c r="G10" s="355"/>
      <c r="K10" s="536"/>
    </row>
    <row r="11" spans="1:23" ht="15" customHeight="1" x14ac:dyDescent="0.2">
      <c r="A11" s="1186"/>
      <c r="B11" s="1186"/>
      <c r="C11" s="1187"/>
      <c r="D11" s="838">
        <v>7</v>
      </c>
      <c r="E11" s="913">
        <v>20000</v>
      </c>
      <c r="G11" s="355"/>
      <c r="K11" s="536"/>
    </row>
    <row r="12" spans="1:23" ht="15" customHeight="1" x14ac:dyDescent="0.2">
      <c r="A12" s="1186"/>
      <c r="B12" s="1186"/>
      <c r="C12" s="1187"/>
      <c r="D12" s="838">
        <v>8</v>
      </c>
      <c r="E12" s="913">
        <v>25000</v>
      </c>
      <c r="G12" s="355"/>
      <c r="K12" s="536"/>
    </row>
    <row r="13" spans="1:23" ht="15" customHeight="1" thickBot="1" x14ac:dyDescent="0.25">
      <c r="A13" s="1186"/>
      <c r="B13" s="1186"/>
      <c r="C13" s="1187"/>
      <c r="D13" s="838">
        <v>9</v>
      </c>
      <c r="E13" s="913">
        <v>30000</v>
      </c>
      <c r="G13" s="355"/>
      <c r="K13" s="536"/>
    </row>
    <row r="14" spans="1:23" ht="15" customHeight="1" thickBot="1" x14ac:dyDescent="0.25">
      <c r="A14" s="992" t="s">
        <v>837</v>
      </c>
      <c r="B14" s="1184">
        <f>ROUND(E118,0)</f>
        <v>0</v>
      </c>
      <c r="C14" s="1185"/>
      <c r="D14" s="993">
        <v>10</v>
      </c>
      <c r="E14" s="994">
        <v>40000</v>
      </c>
      <c r="F14" s="702"/>
      <c r="G14" s="355"/>
      <c r="K14" s="536"/>
    </row>
    <row r="15" spans="1:23" ht="5.25" customHeight="1" thickBot="1" x14ac:dyDescent="0.25">
      <c r="A15" s="355"/>
      <c r="B15" s="355"/>
      <c r="C15" s="355"/>
      <c r="D15" s="355"/>
      <c r="E15" s="537"/>
      <c r="G15" s="355"/>
    </row>
    <row r="16" spans="1:23" s="544" customFormat="1" ht="41.25" customHeight="1" thickBot="1" x14ac:dyDescent="0.25">
      <c r="A16" s="622" t="s">
        <v>899</v>
      </c>
      <c r="B16" s="694" t="s">
        <v>940</v>
      </c>
      <c r="C16" s="542" t="s">
        <v>624</v>
      </c>
      <c r="D16" s="542" t="s">
        <v>625</v>
      </c>
      <c r="E16" s="691" t="s">
        <v>531</v>
      </c>
      <c r="F16" s="572"/>
      <c r="G16" s="355"/>
      <c r="H16" s="355"/>
      <c r="I16" s="355"/>
      <c r="J16" s="355"/>
      <c r="K16" s="543"/>
      <c r="L16" s="543"/>
      <c r="M16" s="543"/>
      <c r="N16" s="543"/>
      <c r="O16" s="543"/>
      <c r="P16" s="543"/>
      <c r="Q16" s="543"/>
      <c r="R16" s="543"/>
      <c r="S16" s="355"/>
      <c r="T16" s="355"/>
      <c r="U16" s="355"/>
      <c r="V16" s="355"/>
      <c r="W16" s="355"/>
    </row>
    <row r="17" spans="1:7" ht="12.75" customHeight="1" x14ac:dyDescent="0.2">
      <c r="A17" s="420" t="s">
        <v>302</v>
      </c>
      <c r="B17" s="421"/>
      <c r="C17" s="421"/>
      <c r="D17" s="421"/>
      <c r="E17" s="834" t="str">
        <f>IF(ISNA(VLOOKUP(B17,$D$4:$E$14,2,FALSE)*F17),"",VLOOKUP(B17,$D$4:$E$14,2,FALSE)*F17)</f>
        <v/>
      </c>
      <c r="F17" s="657">
        <f t="shared" ref="F17:F48" si="0">IF(C17="Y",62/190,IF(D17="Y",128/190,1))</f>
        <v>1</v>
      </c>
      <c r="G17" s="918"/>
    </row>
    <row r="18" spans="1:7" ht="12.75" customHeight="1" x14ac:dyDescent="0.2">
      <c r="A18" s="131" t="s">
        <v>303</v>
      </c>
      <c r="B18" s="421"/>
      <c r="C18" s="132"/>
      <c r="D18" s="132"/>
      <c r="E18" s="834" t="str">
        <f t="shared" ref="E18:E81" si="1">IF(ISNA(VLOOKUP(B18,$D$4:$E$14,2,FALSE)*F18),"",VLOOKUP(B18,$D$4:$E$14,2,FALSE)*F18)</f>
        <v/>
      </c>
      <c r="F18" s="657">
        <f t="shared" si="0"/>
        <v>1</v>
      </c>
      <c r="G18" s="918"/>
    </row>
    <row r="19" spans="1:7" ht="12.75" customHeight="1" x14ac:dyDescent="0.2">
      <c r="A19" s="131" t="s">
        <v>304</v>
      </c>
      <c r="B19" s="421"/>
      <c r="C19" s="132"/>
      <c r="D19" s="132"/>
      <c r="E19" s="834" t="str">
        <f t="shared" si="1"/>
        <v/>
      </c>
      <c r="F19" s="657">
        <f t="shared" si="0"/>
        <v>1</v>
      </c>
      <c r="G19" s="918"/>
    </row>
    <row r="20" spans="1:7" ht="12.75" customHeight="1" x14ac:dyDescent="0.2">
      <c r="A20" s="131" t="s">
        <v>305</v>
      </c>
      <c r="B20" s="421"/>
      <c r="C20" s="132"/>
      <c r="D20" s="132"/>
      <c r="E20" s="834" t="str">
        <f t="shared" si="1"/>
        <v/>
      </c>
      <c r="F20" s="657">
        <f t="shared" si="0"/>
        <v>1</v>
      </c>
      <c r="G20" s="918"/>
    </row>
    <row r="21" spans="1:7" ht="12.75" customHeight="1" x14ac:dyDescent="0.2">
      <c r="A21" s="131" t="s">
        <v>306</v>
      </c>
      <c r="B21" s="421"/>
      <c r="C21" s="132"/>
      <c r="D21" s="132"/>
      <c r="E21" s="834" t="str">
        <f t="shared" si="1"/>
        <v/>
      </c>
      <c r="F21" s="657">
        <f t="shared" si="0"/>
        <v>1</v>
      </c>
      <c r="G21" s="918"/>
    </row>
    <row r="22" spans="1:7" ht="12.75" customHeight="1" x14ac:dyDescent="0.2">
      <c r="A22" s="131" t="s">
        <v>307</v>
      </c>
      <c r="B22" s="421"/>
      <c r="C22" s="132"/>
      <c r="D22" s="132"/>
      <c r="E22" s="834" t="str">
        <f t="shared" si="1"/>
        <v/>
      </c>
      <c r="F22" s="657">
        <f t="shared" si="0"/>
        <v>1</v>
      </c>
      <c r="G22" s="918"/>
    </row>
    <row r="23" spans="1:7" ht="12.75" customHeight="1" x14ac:dyDescent="0.2">
      <c r="A23" s="131" t="s">
        <v>308</v>
      </c>
      <c r="B23" s="421"/>
      <c r="C23" s="132"/>
      <c r="D23" s="132"/>
      <c r="E23" s="834" t="str">
        <f t="shared" si="1"/>
        <v/>
      </c>
      <c r="F23" s="657">
        <f t="shared" si="0"/>
        <v>1</v>
      </c>
      <c r="G23" s="918"/>
    </row>
    <row r="24" spans="1:7" ht="12.75" customHeight="1" x14ac:dyDescent="0.2">
      <c r="A24" s="131" t="s">
        <v>309</v>
      </c>
      <c r="B24" s="421"/>
      <c r="C24" s="132"/>
      <c r="D24" s="132"/>
      <c r="E24" s="834" t="str">
        <f t="shared" si="1"/>
        <v/>
      </c>
      <c r="F24" s="657">
        <f t="shared" si="0"/>
        <v>1</v>
      </c>
      <c r="G24" s="918"/>
    </row>
    <row r="25" spans="1:7" ht="12.75" customHeight="1" x14ac:dyDescent="0.2">
      <c r="A25" s="131" t="s">
        <v>310</v>
      </c>
      <c r="B25" s="421"/>
      <c r="C25" s="132"/>
      <c r="D25" s="132"/>
      <c r="E25" s="834" t="str">
        <f t="shared" si="1"/>
        <v/>
      </c>
      <c r="F25" s="657">
        <f t="shared" si="0"/>
        <v>1</v>
      </c>
      <c r="G25" s="918"/>
    </row>
    <row r="26" spans="1:7" ht="12.75" customHeight="1" x14ac:dyDescent="0.2">
      <c r="A26" s="131" t="s">
        <v>311</v>
      </c>
      <c r="B26" s="421"/>
      <c r="C26" s="132"/>
      <c r="D26" s="132"/>
      <c r="E26" s="834" t="str">
        <f t="shared" si="1"/>
        <v/>
      </c>
      <c r="F26" s="657">
        <f t="shared" si="0"/>
        <v>1</v>
      </c>
      <c r="G26" s="918"/>
    </row>
    <row r="27" spans="1:7" ht="12.75" customHeight="1" x14ac:dyDescent="0.2">
      <c r="A27" s="131" t="s">
        <v>312</v>
      </c>
      <c r="B27" s="421"/>
      <c r="C27" s="132"/>
      <c r="D27" s="132"/>
      <c r="E27" s="834" t="str">
        <f t="shared" si="1"/>
        <v/>
      </c>
      <c r="F27" s="657">
        <f t="shared" si="0"/>
        <v>1</v>
      </c>
      <c r="G27" s="918"/>
    </row>
    <row r="28" spans="1:7" ht="12.75" customHeight="1" x14ac:dyDescent="0.2">
      <c r="A28" s="131" t="s">
        <v>313</v>
      </c>
      <c r="B28" s="421"/>
      <c r="C28" s="132"/>
      <c r="D28" s="132"/>
      <c r="E28" s="834" t="str">
        <f t="shared" si="1"/>
        <v/>
      </c>
      <c r="F28" s="657">
        <f t="shared" si="0"/>
        <v>1</v>
      </c>
      <c r="G28" s="918"/>
    </row>
    <row r="29" spans="1:7" ht="12.75" customHeight="1" x14ac:dyDescent="0.2">
      <c r="A29" s="131" t="s">
        <v>314</v>
      </c>
      <c r="B29" s="421"/>
      <c r="C29" s="132"/>
      <c r="D29" s="132"/>
      <c r="E29" s="834" t="str">
        <f t="shared" si="1"/>
        <v/>
      </c>
      <c r="F29" s="657">
        <f t="shared" si="0"/>
        <v>1</v>
      </c>
      <c r="G29" s="918"/>
    </row>
    <row r="30" spans="1:7" ht="12.75" customHeight="1" x14ac:dyDescent="0.2">
      <c r="A30" s="131" t="s">
        <v>315</v>
      </c>
      <c r="B30" s="421"/>
      <c r="C30" s="132"/>
      <c r="D30" s="132"/>
      <c r="E30" s="834" t="str">
        <f t="shared" si="1"/>
        <v/>
      </c>
      <c r="F30" s="657">
        <f t="shared" si="0"/>
        <v>1</v>
      </c>
      <c r="G30" s="918"/>
    </row>
    <row r="31" spans="1:7" ht="12.75" customHeight="1" x14ac:dyDescent="0.2">
      <c r="A31" s="131" t="s">
        <v>316</v>
      </c>
      <c r="B31" s="421"/>
      <c r="C31" s="132"/>
      <c r="D31" s="132"/>
      <c r="E31" s="834" t="str">
        <f t="shared" si="1"/>
        <v/>
      </c>
      <c r="F31" s="657">
        <f t="shared" si="0"/>
        <v>1</v>
      </c>
      <c r="G31" s="918"/>
    </row>
    <row r="32" spans="1:7" ht="12.75" customHeight="1" x14ac:dyDescent="0.2">
      <c r="A32" s="131" t="s">
        <v>317</v>
      </c>
      <c r="B32" s="421"/>
      <c r="C32" s="132"/>
      <c r="D32" s="132"/>
      <c r="E32" s="834" t="str">
        <f t="shared" si="1"/>
        <v/>
      </c>
      <c r="F32" s="657">
        <f t="shared" si="0"/>
        <v>1</v>
      </c>
      <c r="G32" s="918"/>
    </row>
    <row r="33" spans="1:7" ht="12.75" customHeight="1" x14ac:dyDescent="0.2">
      <c r="A33" s="131" t="s">
        <v>318</v>
      </c>
      <c r="B33" s="421"/>
      <c r="C33" s="132"/>
      <c r="D33" s="132"/>
      <c r="E33" s="834" t="str">
        <f t="shared" si="1"/>
        <v/>
      </c>
      <c r="F33" s="657">
        <f t="shared" si="0"/>
        <v>1</v>
      </c>
      <c r="G33" s="918"/>
    </row>
    <row r="34" spans="1:7" ht="12.75" customHeight="1" x14ac:dyDescent="0.2">
      <c r="A34" s="131" t="s">
        <v>319</v>
      </c>
      <c r="B34" s="421"/>
      <c r="C34" s="132"/>
      <c r="D34" s="132"/>
      <c r="E34" s="834" t="str">
        <f t="shared" si="1"/>
        <v/>
      </c>
      <c r="F34" s="657">
        <f t="shared" si="0"/>
        <v>1</v>
      </c>
      <c r="G34" s="918"/>
    </row>
    <row r="35" spans="1:7" ht="12.75" customHeight="1" x14ac:dyDescent="0.2">
      <c r="A35" s="131" t="s">
        <v>320</v>
      </c>
      <c r="B35" s="421"/>
      <c r="C35" s="132"/>
      <c r="D35" s="132"/>
      <c r="E35" s="834" t="str">
        <f t="shared" si="1"/>
        <v/>
      </c>
      <c r="F35" s="657">
        <f t="shared" si="0"/>
        <v>1</v>
      </c>
      <c r="G35" s="918"/>
    </row>
    <row r="36" spans="1:7" ht="12.75" customHeight="1" x14ac:dyDescent="0.2">
      <c r="A36" s="131" t="s">
        <v>321</v>
      </c>
      <c r="B36" s="421"/>
      <c r="C36" s="132"/>
      <c r="D36" s="132"/>
      <c r="E36" s="834" t="str">
        <f t="shared" si="1"/>
        <v/>
      </c>
      <c r="F36" s="657">
        <f t="shared" si="0"/>
        <v>1</v>
      </c>
      <c r="G36" s="918"/>
    </row>
    <row r="37" spans="1:7" ht="12.75" customHeight="1" x14ac:dyDescent="0.2">
      <c r="A37" s="131" t="s">
        <v>322</v>
      </c>
      <c r="B37" s="421"/>
      <c r="C37" s="132"/>
      <c r="D37" s="132"/>
      <c r="E37" s="834" t="str">
        <f t="shared" si="1"/>
        <v/>
      </c>
      <c r="F37" s="657">
        <f t="shared" si="0"/>
        <v>1</v>
      </c>
      <c r="G37" s="918"/>
    </row>
    <row r="38" spans="1:7" ht="12.75" customHeight="1" x14ac:dyDescent="0.2">
      <c r="A38" s="131" t="s">
        <v>323</v>
      </c>
      <c r="B38" s="421"/>
      <c r="C38" s="132"/>
      <c r="D38" s="132"/>
      <c r="E38" s="834" t="str">
        <f t="shared" si="1"/>
        <v/>
      </c>
      <c r="F38" s="657">
        <f t="shared" si="0"/>
        <v>1</v>
      </c>
      <c r="G38" s="918"/>
    </row>
    <row r="39" spans="1:7" ht="12.75" customHeight="1" x14ac:dyDescent="0.2">
      <c r="A39" s="131" t="s">
        <v>324</v>
      </c>
      <c r="B39" s="421"/>
      <c r="C39" s="132"/>
      <c r="D39" s="132"/>
      <c r="E39" s="834" t="str">
        <f t="shared" si="1"/>
        <v/>
      </c>
      <c r="F39" s="657">
        <f t="shared" si="0"/>
        <v>1</v>
      </c>
      <c r="G39" s="918"/>
    </row>
    <row r="40" spans="1:7" ht="12.75" customHeight="1" x14ac:dyDescent="0.2">
      <c r="A40" s="131" t="s">
        <v>325</v>
      </c>
      <c r="B40" s="421"/>
      <c r="C40" s="132"/>
      <c r="D40" s="132"/>
      <c r="E40" s="834" t="str">
        <f t="shared" si="1"/>
        <v/>
      </c>
      <c r="F40" s="657">
        <f t="shared" si="0"/>
        <v>1</v>
      </c>
      <c r="G40" s="918"/>
    </row>
    <row r="41" spans="1:7" ht="12.75" customHeight="1" x14ac:dyDescent="0.2">
      <c r="A41" s="131" t="s">
        <v>326</v>
      </c>
      <c r="B41" s="421"/>
      <c r="C41" s="132"/>
      <c r="D41" s="132"/>
      <c r="E41" s="834" t="str">
        <f t="shared" si="1"/>
        <v/>
      </c>
      <c r="F41" s="657">
        <f t="shared" si="0"/>
        <v>1</v>
      </c>
      <c r="G41" s="918"/>
    </row>
    <row r="42" spans="1:7" ht="12.75" customHeight="1" x14ac:dyDescent="0.2">
      <c r="A42" s="131" t="s">
        <v>327</v>
      </c>
      <c r="B42" s="421"/>
      <c r="C42" s="132"/>
      <c r="D42" s="132"/>
      <c r="E42" s="834" t="str">
        <f t="shared" si="1"/>
        <v/>
      </c>
      <c r="F42" s="657">
        <f t="shared" si="0"/>
        <v>1</v>
      </c>
      <c r="G42" s="918"/>
    </row>
    <row r="43" spans="1:7" ht="12.75" customHeight="1" x14ac:dyDescent="0.2">
      <c r="A43" s="131" t="s">
        <v>328</v>
      </c>
      <c r="B43" s="421"/>
      <c r="C43" s="132"/>
      <c r="D43" s="132"/>
      <c r="E43" s="834" t="str">
        <f t="shared" si="1"/>
        <v/>
      </c>
      <c r="F43" s="657">
        <f t="shared" si="0"/>
        <v>1</v>
      </c>
      <c r="G43" s="918"/>
    </row>
    <row r="44" spans="1:7" ht="12.75" customHeight="1" x14ac:dyDescent="0.2">
      <c r="A44" s="131" t="s">
        <v>329</v>
      </c>
      <c r="B44" s="421"/>
      <c r="C44" s="132"/>
      <c r="D44" s="132"/>
      <c r="E44" s="834" t="str">
        <f t="shared" si="1"/>
        <v/>
      </c>
      <c r="F44" s="657">
        <f t="shared" si="0"/>
        <v>1</v>
      </c>
      <c r="G44" s="918"/>
    </row>
    <row r="45" spans="1:7" ht="12.75" customHeight="1" x14ac:dyDescent="0.2">
      <c r="A45" s="131" t="s">
        <v>330</v>
      </c>
      <c r="B45" s="421"/>
      <c r="C45" s="132"/>
      <c r="D45" s="132"/>
      <c r="E45" s="834" t="str">
        <f t="shared" si="1"/>
        <v/>
      </c>
      <c r="F45" s="657">
        <f t="shared" si="0"/>
        <v>1</v>
      </c>
      <c r="G45" s="918"/>
    </row>
    <row r="46" spans="1:7" ht="12.75" customHeight="1" x14ac:dyDescent="0.2">
      <c r="A46" s="131" t="s">
        <v>331</v>
      </c>
      <c r="B46" s="421"/>
      <c r="C46" s="132"/>
      <c r="D46" s="132"/>
      <c r="E46" s="834" t="str">
        <f t="shared" si="1"/>
        <v/>
      </c>
      <c r="F46" s="657">
        <f t="shared" si="0"/>
        <v>1</v>
      </c>
      <c r="G46" s="918"/>
    </row>
    <row r="47" spans="1:7" ht="12.75" customHeight="1" x14ac:dyDescent="0.2">
      <c r="A47" s="131" t="s">
        <v>332</v>
      </c>
      <c r="B47" s="421"/>
      <c r="C47" s="132"/>
      <c r="D47" s="132"/>
      <c r="E47" s="834" t="str">
        <f t="shared" si="1"/>
        <v/>
      </c>
      <c r="F47" s="657">
        <f t="shared" si="0"/>
        <v>1</v>
      </c>
      <c r="G47" s="918"/>
    </row>
    <row r="48" spans="1:7" ht="12.75" customHeight="1" x14ac:dyDescent="0.2">
      <c r="A48" s="131" t="s">
        <v>333</v>
      </c>
      <c r="B48" s="421"/>
      <c r="C48" s="132"/>
      <c r="D48" s="132"/>
      <c r="E48" s="834" t="str">
        <f t="shared" si="1"/>
        <v/>
      </c>
      <c r="F48" s="657">
        <f t="shared" si="0"/>
        <v>1</v>
      </c>
      <c r="G48" s="918"/>
    </row>
    <row r="49" spans="1:7" ht="12.75" customHeight="1" x14ac:dyDescent="0.2">
      <c r="A49" s="131" t="s">
        <v>334</v>
      </c>
      <c r="B49" s="421"/>
      <c r="C49" s="132"/>
      <c r="D49" s="132"/>
      <c r="E49" s="834" t="str">
        <f t="shared" si="1"/>
        <v/>
      </c>
      <c r="F49" s="657">
        <f t="shared" ref="F49:F80" si="2">IF(C49="Y",62/190,IF(D49="Y",128/190,1))</f>
        <v>1</v>
      </c>
      <c r="G49" s="918"/>
    </row>
    <row r="50" spans="1:7" ht="12.75" customHeight="1" x14ac:dyDescent="0.2">
      <c r="A50" s="131" t="s">
        <v>335</v>
      </c>
      <c r="B50" s="421"/>
      <c r="C50" s="132"/>
      <c r="D50" s="132"/>
      <c r="E50" s="834" t="str">
        <f t="shared" si="1"/>
        <v/>
      </c>
      <c r="F50" s="657">
        <f t="shared" si="2"/>
        <v>1</v>
      </c>
      <c r="G50" s="918"/>
    </row>
    <row r="51" spans="1:7" ht="12.75" customHeight="1" x14ac:dyDescent="0.2">
      <c r="A51" s="131" t="s">
        <v>336</v>
      </c>
      <c r="B51" s="421"/>
      <c r="C51" s="132"/>
      <c r="D51" s="132"/>
      <c r="E51" s="834" t="str">
        <f t="shared" si="1"/>
        <v/>
      </c>
      <c r="F51" s="657">
        <f t="shared" si="2"/>
        <v>1</v>
      </c>
      <c r="G51" s="918"/>
    </row>
    <row r="52" spans="1:7" ht="12.75" customHeight="1" x14ac:dyDescent="0.2">
      <c r="A52" s="131" t="s">
        <v>337</v>
      </c>
      <c r="B52" s="421"/>
      <c r="C52" s="132"/>
      <c r="D52" s="132"/>
      <c r="E52" s="834" t="str">
        <f t="shared" si="1"/>
        <v/>
      </c>
      <c r="F52" s="657">
        <f t="shared" si="2"/>
        <v>1</v>
      </c>
      <c r="G52" s="918"/>
    </row>
    <row r="53" spans="1:7" ht="12.75" customHeight="1" x14ac:dyDescent="0.2">
      <c r="A53" s="131" t="s">
        <v>338</v>
      </c>
      <c r="B53" s="421"/>
      <c r="C53" s="132"/>
      <c r="D53" s="132"/>
      <c r="E53" s="834" t="str">
        <f t="shared" si="1"/>
        <v/>
      </c>
      <c r="F53" s="657">
        <f t="shared" si="2"/>
        <v>1</v>
      </c>
      <c r="G53" s="918"/>
    </row>
    <row r="54" spans="1:7" ht="12.75" customHeight="1" x14ac:dyDescent="0.2">
      <c r="A54" s="131" t="s">
        <v>339</v>
      </c>
      <c r="B54" s="421"/>
      <c r="C54" s="132"/>
      <c r="D54" s="132"/>
      <c r="E54" s="834" t="str">
        <f t="shared" si="1"/>
        <v/>
      </c>
      <c r="F54" s="657">
        <f t="shared" si="2"/>
        <v>1</v>
      </c>
      <c r="G54" s="918"/>
    </row>
    <row r="55" spans="1:7" ht="12.75" customHeight="1" x14ac:dyDescent="0.2">
      <c r="A55" s="131" t="s">
        <v>340</v>
      </c>
      <c r="B55" s="421"/>
      <c r="C55" s="132"/>
      <c r="D55" s="132"/>
      <c r="E55" s="834" t="str">
        <f t="shared" si="1"/>
        <v/>
      </c>
      <c r="F55" s="657">
        <f t="shared" si="2"/>
        <v>1</v>
      </c>
      <c r="G55" s="918"/>
    </row>
    <row r="56" spans="1:7" ht="12.75" customHeight="1" x14ac:dyDescent="0.2">
      <c r="A56" s="131" t="s">
        <v>341</v>
      </c>
      <c r="B56" s="421"/>
      <c r="C56" s="132"/>
      <c r="D56" s="132"/>
      <c r="E56" s="834" t="str">
        <f t="shared" si="1"/>
        <v/>
      </c>
      <c r="F56" s="657">
        <f t="shared" si="2"/>
        <v>1</v>
      </c>
      <c r="G56" s="918"/>
    </row>
    <row r="57" spans="1:7" ht="12.75" customHeight="1" x14ac:dyDescent="0.2">
      <c r="A57" s="131" t="s">
        <v>342</v>
      </c>
      <c r="B57" s="421"/>
      <c r="C57" s="132"/>
      <c r="D57" s="132"/>
      <c r="E57" s="834" t="str">
        <f t="shared" si="1"/>
        <v/>
      </c>
      <c r="F57" s="657">
        <f t="shared" si="2"/>
        <v>1</v>
      </c>
      <c r="G57" s="918"/>
    </row>
    <row r="58" spans="1:7" ht="12.75" customHeight="1" x14ac:dyDescent="0.2">
      <c r="A58" s="131" t="s">
        <v>343</v>
      </c>
      <c r="B58" s="421"/>
      <c r="C58" s="132"/>
      <c r="D58" s="132"/>
      <c r="E58" s="834" t="str">
        <f t="shared" si="1"/>
        <v/>
      </c>
      <c r="F58" s="657">
        <f t="shared" si="2"/>
        <v>1</v>
      </c>
      <c r="G58" s="918"/>
    </row>
    <row r="59" spans="1:7" ht="12.75" customHeight="1" x14ac:dyDescent="0.2">
      <c r="A59" s="131" t="s">
        <v>344</v>
      </c>
      <c r="B59" s="421"/>
      <c r="C59" s="132"/>
      <c r="D59" s="132"/>
      <c r="E59" s="834" t="str">
        <f t="shared" si="1"/>
        <v/>
      </c>
      <c r="F59" s="657">
        <f t="shared" si="2"/>
        <v>1</v>
      </c>
      <c r="G59" s="918"/>
    </row>
    <row r="60" spans="1:7" ht="12.75" customHeight="1" x14ac:dyDescent="0.2">
      <c r="A60" s="131" t="s">
        <v>345</v>
      </c>
      <c r="B60" s="421"/>
      <c r="C60" s="132"/>
      <c r="D60" s="132"/>
      <c r="E60" s="834" t="str">
        <f t="shared" si="1"/>
        <v/>
      </c>
      <c r="F60" s="657">
        <f t="shared" si="2"/>
        <v>1</v>
      </c>
      <c r="G60" s="918"/>
    </row>
    <row r="61" spans="1:7" ht="12.75" customHeight="1" x14ac:dyDescent="0.2">
      <c r="A61" s="131" t="s">
        <v>346</v>
      </c>
      <c r="B61" s="421"/>
      <c r="C61" s="132"/>
      <c r="D61" s="132"/>
      <c r="E61" s="834" t="str">
        <f t="shared" si="1"/>
        <v/>
      </c>
      <c r="F61" s="657">
        <f t="shared" si="2"/>
        <v>1</v>
      </c>
      <c r="G61" s="918"/>
    </row>
    <row r="62" spans="1:7" ht="12.75" customHeight="1" x14ac:dyDescent="0.2">
      <c r="A62" s="131" t="s">
        <v>347</v>
      </c>
      <c r="B62" s="421"/>
      <c r="C62" s="132"/>
      <c r="D62" s="132"/>
      <c r="E62" s="834" t="str">
        <f t="shared" si="1"/>
        <v/>
      </c>
      <c r="F62" s="657">
        <f t="shared" si="2"/>
        <v>1</v>
      </c>
      <c r="G62" s="918"/>
    </row>
    <row r="63" spans="1:7" ht="12.75" customHeight="1" x14ac:dyDescent="0.2">
      <c r="A63" s="131" t="s">
        <v>348</v>
      </c>
      <c r="B63" s="421"/>
      <c r="C63" s="132"/>
      <c r="D63" s="132"/>
      <c r="E63" s="834" t="str">
        <f t="shared" si="1"/>
        <v/>
      </c>
      <c r="F63" s="657">
        <f t="shared" si="2"/>
        <v>1</v>
      </c>
      <c r="G63" s="918"/>
    </row>
    <row r="64" spans="1:7" ht="12.75" customHeight="1" x14ac:dyDescent="0.2">
      <c r="A64" s="131" t="s">
        <v>349</v>
      </c>
      <c r="B64" s="421"/>
      <c r="C64" s="132"/>
      <c r="D64" s="132"/>
      <c r="E64" s="834" t="str">
        <f t="shared" si="1"/>
        <v/>
      </c>
      <c r="F64" s="657">
        <f t="shared" si="2"/>
        <v>1</v>
      </c>
      <c r="G64" s="918"/>
    </row>
    <row r="65" spans="1:7" ht="12.75" customHeight="1" x14ac:dyDescent="0.2">
      <c r="A65" s="131" t="s">
        <v>350</v>
      </c>
      <c r="B65" s="421"/>
      <c r="C65" s="132"/>
      <c r="D65" s="132"/>
      <c r="E65" s="834" t="str">
        <f t="shared" si="1"/>
        <v/>
      </c>
      <c r="F65" s="657">
        <f t="shared" si="2"/>
        <v>1</v>
      </c>
      <c r="G65" s="918"/>
    </row>
    <row r="66" spans="1:7" ht="12.75" customHeight="1" x14ac:dyDescent="0.2">
      <c r="A66" s="131" t="s">
        <v>351</v>
      </c>
      <c r="B66" s="421"/>
      <c r="C66" s="132"/>
      <c r="D66" s="132"/>
      <c r="E66" s="834" t="str">
        <f t="shared" si="1"/>
        <v/>
      </c>
      <c r="F66" s="657">
        <f t="shared" si="2"/>
        <v>1</v>
      </c>
      <c r="G66" s="918"/>
    </row>
    <row r="67" spans="1:7" ht="12.75" customHeight="1" x14ac:dyDescent="0.2">
      <c r="A67" s="131" t="s">
        <v>352</v>
      </c>
      <c r="B67" s="421"/>
      <c r="C67" s="132"/>
      <c r="D67" s="132"/>
      <c r="E67" s="834" t="str">
        <f t="shared" si="1"/>
        <v/>
      </c>
      <c r="F67" s="657">
        <f t="shared" si="2"/>
        <v>1</v>
      </c>
      <c r="G67" s="918"/>
    </row>
    <row r="68" spans="1:7" ht="12.75" customHeight="1" x14ac:dyDescent="0.2">
      <c r="A68" s="131" t="s">
        <v>353</v>
      </c>
      <c r="B68" s="421"/>
      <c r="C68" s="132"/>
      <c r="D68" s="132"/>
      <c r="E68" s="834" t="str">
        <f t="shared" si="1"/>
        <v/>
      </c>
      <c r="F68" s="657">
        <f t="shared" si="2"/>
        <v>1</v>
      </c>
      <c r="G68" s="918"/>
    </row>
    <row r="69" spans="1:7" ht="12.75" customHeight="1" x14ac:dyDescent="0.2">
      <c r="A69" s="131" t="s">
        <v>354</v>
      </c>
      <c r="B69" s="421"/>
      <c r="C69" s="132"/>
      <c r="D69" s="132"/>
      <c r="E69" s="834" t="str">
        <f t="shared" si="1"/>
        <v/>
      </c>
      <c r="F69" s="657">
        <f t="shared" si="2"/>
        <v>1</v>
      </c>
      <c r="G69" s="918"/>
    </row>
    <row r="70" spans="1:7" ht="12.75" customHeight="1" x14ac:dyDescent="0.2">
      <c r="A70" s="131" t="s">
        <v>355</v>
      </c>
      <c r="B70" s="421"/>
      <c r="C70" s="132"/>
      <c r="D70" s="132"/>
      <c r="E70" s="834" t="str">
        <f t="shared" si="1"/>
        <v/>
      </c>
      <c r="F70" s="657">
        <f t="shared" si="2"/>
        <v>1</v>
      </c>
      <c r="G70" s="918"/>
    </row>
    <row r="71" spans="1:7" ht="12.75" customHeight="1" x14ac:dyDescent="0.2">
      <c r="A71" s="131" t="s">
        <v>356</v>
      </c>
      <c r="B71" s="421"/>
      <c r="C71" s="132"/>
      <c r="D71" s="132"/>
      <c r="E71" s="834" t="str">
        <f t="shared" si="1"/>
        <v/>
      </c>
      <c r="F71" s="657">
        <f t="shared" si="2"/>
        <v>1</v>
      </c>
      <c r="G71" s="918"/>
    </row>
    <row r="72" spans="1:7" ht="12.75" customHeight="1" x14ac:dyDescent="0.2">
      <c r="A72" s="131" t="s">
        <v>357</v>
      </c>
      <c r="B72" s="421"/>
      <c r="C72" s="132"/>
      <c r="D72" s="132"/>
      <c r="E72" s="834" t="str">
        <f t="shared" si="1"/>
        <v/>
      </c>
      <c r="F72" s="657">
        <f t="shared" si="2"/>
        <v>1</v>
      </c>
      <c r="G72" s="918"/>
    </row>
    <row r="73" spans="1:7" ht="12.75" customHeight="1" x14ac:dyDescent="0.2">
      <c r="A73" s="131" t="s">
        <v>358</v>
      </c>
      <c r="B73" s="421"/>
      <c r="C73" s="132"/>
      <c r="D73" s="132"/>
      <c r="E73" s="834" t="str">
        <f t="shared" si="1"/>
        <v/>
      </c>
      <c r="F73" s="657">
        <f t="shared" si="2"/>
        <v>1</v>
      </c>
      <c r="G73" s="918"/>
    </row>
    <row r="74" spans="1:7" ht="12.75" customHeight="1" x14ac:dyDescent="0.2">
      <c r="A74" s="131" t="s">
        <v>359</v>
      </c>
      <c r="B74" s="421"/>
      <c r="C74" s="132"/>
      <c r="D74" s="132"/>
      <c r="E74" s="834" t="str">
        <f t="shared" si="1"/>
        <v/>
      </c>
      <c r="F74" s="657">
        <f t="shared" si="2"/>
        <v>1</v>
      </c>
      <c r="G74" s="918"/>
    </row>
    <row r="75" spans="1:7" ht="12.75" customHeight="1" x14ac:dyDescent="0.2">
      <c r="A75" s="131" t="s">
        <v>360</v>
      </c>
      <c r="B75" s="421"/>
      <c r="C75" s="132"/>
      <c r="D75" s="132"/>
      <c r="E75" s="834" t="str">
        <f t="shared" si="1"/>
        <v/>
      </c>
      <c r="F75" s="657">
        <f t="shared" si="2"/>
        <v>1</v>
      </c>
      <c r="G75" s="918"/>
    </row>
    <row r="76" spans="1:7" ht="12.75" customHeight="1" x14ac:dyDescent="0.2">
      <c r="A76" s="131" t="s">
        <v>361</v>
      </c>
      <c r="B76" s="421"/>
      <c r="C76" s="132"/>
      <c r="D76" s="132"/>
      <c r="E76" s="834" t="str">
        <f t="shared" si="1"/>
        <v/>
      </c>
      <c r="F76" s="657">
        <f t="shared" si="2"/>
        <v>1</v>
      </c>
      <c r="G76" s="918"/>
    </row>
    <row r="77" spans="1:7" ht="12.75" customHeight="1" x14ac:dyDescent="0.2">
      <c r="A77" s="131" t="s">
        <v>362</v>
      </c>
      <c r="B77" s="421"/>
      <c r="C77" s="132"/>
      <c r="D77" s="132"/>
      <c r="E77" s="834" t="str">
        <f t="shared" si="1"/>
        <v/>
      </c>
      <c r="F77" s="657">
        <f t="shared" si="2"/>
        <v>1</v>
      </c>
      <c r="G77" s="918"/>
    </row>
    <row r="78" spans="1:7" ht="12.75" customHeight="1" x14ac:dyDescent="0.2">
      <c r="A78" s="131" t="s">
        <v>363</v>
      </c>
      <c r="B78" s="421"/>
      <c r="C78" s="132"/>
      <c r="D78" s="132"/>
      <c r="E78" s="834" t="str">
        <f t="shared" si="1"/>
        <v/>
      </c>
      <c r="F78" s="657">
        <f t="shared" si="2"/>
        <v>1</v>
      </c>
      <c r="G78" s="918"/>
    </row>
    <row r="79" spans="1:7" ht="12.75" customHeight="1" x14ac:dyDescent="0.2">
      <c r="A79" s="131" t="s">
        <v>364</v>
      </c>
      <c r="B79" s="421"/>
      <c r="C79" s="132"/>
      <c r="D79" s="132"/>
      <c r="E79" s="834" t="str">
        <f t="shared" si="1"/>
        <v/>
      </c>
      <c r="F79" s="657">
        <f t="shared" si="2"/>
        <v>1</v>
      </c>
      <c r="G79" s="918"/>
    </row>
    <row r="80" spans="1:7" ht="12.75" customHeight="1" x14ac:dyDescent="0.2">
      <c r="A80" s="131" t="s">
        <v>365</v>
      </c>
      <c r="B80" s="421"/>
      <c r="C80" s="132"/>
      <c r="D80" s="132"/>
      <c r="E80" s="834" t="str">
        <f t="shared" si="1"/>
        <v/>
      </c>
      <c r="F80" s="657">
        <f t="shared" si="2"/>
        <v>1</v>
      </c>
      <c r="G80" s="918"/>
    </row>
    <row r="81" spans="1:7" ht="12.75" customHeight="1" x14ac:dyDescent="0.2">
      <c r="A81" s="131" t="s">
        <v>366</v>
      </c>
      <c r="B81" s="421"/>
      <c r="C81" s="132"/>
      <c r="D81" s="132"/>
      <c r="E81" s="834" t="str">
        <f t="shared" si="1"/>
        <v/>
      </c>
      <c r="F81" s="657">
        <f t="shared" ref="F81:F116" si="3">IF(C81="Y",62/190,IF(D81="Y",128/190,1))</f>
        <v>1</v>
      </c>
      <c r="G81" s="918"/>
    </row>
    <row r="82" spans="1:7" ht="12.75" customHeight="1" x14ac:dyDescent="0.2">
      <c r="A82" s="131" t="s">
        <v>367</v>
      </c>
      <c r="B82" s="421"/>
      <c r="C82" s="132"/>
      <c r="D82" s="132"/>
      <c r="E82" s="834" t="str">
        <f t="shared" ref="E82:E115" si="4">IF(ISNA(VLOOKUP(B82,$D$4:$E$14,2,FALSE)*F82),"",VLOOKUP(B82,$D$4:$E$14,2,FALSE)*F82)</f>
        <v/>
      </c>
      <c r="F82" s="657">
        <f t="shared" si="3"/>
        <v>1</v>
      </c>
      <c r="G82" s="918"/>
    </row>
    <row r="83" spans="1:7" ht="12.75" customHeight="1" x14ac:dyDescent="0.2">
      <c r="A83" s="131" t="s">
        <v>368</v>
      </c>
      <c r="B83" s="421"/>
      <c r="C83" s="132"/>
      <c r="D83" s="132"/>
      <c r="E83" s="834" t="str">
        <f t="shared" si="4"/>
        <v/>
      </c>
      <c r="F83" s="657">
        <f t="shared" si="3"/>
        <v>1</v>
      </c>
      <c r="G83" s="918"/>
    </row>
    <row r="84" spans="1:7" ht="12.75" customHeight="1" x14ac:dyDescent="0.2">
      <c r="A84" s="131" t="s">
        <v>369</v>
      </c>
      <c r="B84" s="421"/>
      <c r="C84" s="132"/>
      <c r="D84" s="132"/>
      <c r="E84" s="834" t="str">
        <f t="shared" si="4"/>
        <v/>
      </c>
      <c r="F84" s="657">
        <f t="shared" si="3"/>
        <v>1</v>
      </c>
      <c r="G84" s="918"/>
    </row>
    <row r="85" spans="1:7" ht="12.75" customHeight="1" x14ac:dyDescent="0.2">
      <c r="A85" s="131" t="s">
        <v>370</v>
      </c>
      <c r="B85" s="421"/>
      <c r="C85" s="132"/>
      <c r="D85" s="132"/>
      <c r="E85" s="834" t="str">
        <f t="shared" si="4"/>
        <v/>
      </c>
      <c r="F85" s="657">
        <f t="shared" si="3"/>
        <v>1</v>
      </c>
      <c r="G85" s="918"/>
    </row>
    <row r="86" spans="1:7" ht="12.75" customHeight="1" x14ac:dyDescent="0.2">
      <c r="A86" s="131" t="s">
        <v>371</v>
      </c>
      <c r="B86" s="421"/>
      <c r="C86" s="132"/>
      <c r="D86" s="132"/>
      <c r="E86" s="834" t="str">
        <f t="shared" si="4"/>
        <v/>
      </c>
      <c r="F86" s="657">
        <f t="shared" si="3"/>
        <v>1</v>
      </c>
      <c r="G86" s="918"/>
    </row>
    <row r="87" spans="1:7" ht="12.75" customHeight="1" x14ac:dyDescent="0.2">
      <c r="A87" s="131" t="s">
        <v>372</v>
      </c>
      <c r="B87" s="421"/>
      <c r="C87" s="132"/>
      <c r="D87" s="132"/>
      <c r="E87" s="834" t="str">
        <f t="shared" si="4"/>
        <v/>
      </c>
      <c r="F87" s="657">
        <f t="shared" si="3"/>
        <v>1</v>
      </c>
      <c r="G87" s="918"/>
    </row>
    <row r="88" spans="1:7" ht="12.75" customHeight="1" x14ac:dyDescent="0.2">
      <c r="A88" s="131" t="s">
        <v>373</v>
      </c>
      <c r="B88" s="421"/>
      <c r="C88" s="132"/>
      <c r="D88" s="132"/>
      <c r="E88" s="834" t="str">
        <f t="shared" si="4"/>
        <v/>
      </c>
      <c r="F88" s="657">
        <f t="shared" si="3"/>
        <v>1</v>
      </c>
      <c r="G88" s="918"/>
    </row>
    <row r="89" spans="1:7" ht="12.75" customHeight="1" x14ac:dyDescent="0.2">
      <c r="A89" s="131" t="s">
        <v>374</v>
      </c>
      <c r="B89" s="421"/>
      <c r="C89" s="132"/>
      <c r="D89" s="132"/>
      <c r="E89" s="834" t="str">
        <f t="shared" si="4"/>
        <v/>
      </c>
      <c r="F89" s="657">
        <f t="shared" si="3"/>
        <v>1</v>
      </c>
      <c r="G89" s="918"/>
    </row>
    <row r="90" spans="1:7" ht="12.75" customHeight="1" x14ac:dyDescent="0.2">
      <c r="A90" s="131" t="s">
        <v>375</v>
      </c>
      <c r="B90" s="421"/>
      <c r="C90" s="132"/>
      <c r="D90" s="132"/>
      <c r="E90" s="834" t="str">
        <f t="shared" si="4"/>
        <v/>
      </c>
      <c r="F90" s="657">
        <f t="shared" si="3"/>
        <v>1</v>
      </c>
      <c r="G90" s="918"/>
    </row>
    <row r="91" spans="1:7" ht="12.75" customHeight="1" x14ac:dyDescent="0.2">
      <c r="A91" s="131" t="s">
        <v>379</v>
      </c>
      <c r="B91" s="421"/>
      <c r="C91" s="132"/>
      <c r="D91" s="132"/>
      <c r="E91" s="834" t="str">
        <f t="shared" si="4"/>
        <v/>
      </c>
      <c r="F91" s="657">
        <f t="shared" si="3"/>
        <v>1</v>
      </c>
      <c r="G91" s="918"/>
    </row>
    <row r="92" spans="1:7" ht="12.75" customHeight="1" x14ac:dyDescent="0.2">
      <c r="A92" s="131" t="s">
        <v>380</v>
      </c>
      <c r="B92" s="421"/>
      <c r="C92" s="132"/>
      <c r="D92" s="132"/>
      <c r="E92" s="834" t="str">
        <f t="shared" si="4"/>
        <v/>
      </c>
      <c r="F92" s="657">
        <f t="shared" si="3"/>
        <v>1</v>
      </c>
      <c r="G92" s="918"/>
    </row>
    <row r="93" spans="1:7" ht="12.75" customHeight="1" x14ac:dyDescent="0.2">
      <c r="A93" s="131" t="s">
        <v>381</v>
      </c>
      <c r="B93" s="421"/>
      <c r="C93" s="132"/>
      <c r="D93" s="132"/>
      <c r="E93" s="834" t="str">
        <f t="shared" si="4"/>
        <v/>
      </c>
      <c r="F93" s="657">
        <f t="shared" si="3"/>
        <v>1</v>
      </c>
      <c r="G93" s="918"/>
    </row>
    <row r="94" spans="1:7" ht="12.75" customHeight="1" x14ac:dyDescent="0.2">
      <c r="A94" s="131" t="s">
        <v>382</v>
      </c>
      <c r="B94" s="421"/>
      <c r="C94" s="132"/>
      <c r="D94" s="132"/>
      <c r="E94" s="834" t="str">
        <f t="shared" si="4"/>
        <v/>
      </c>
      <c r="F94" s="657">
        <f t="shared" si="3"/>
        <v>1</v>
      </c>
      <c r="G94" s="918"/>
    </row>
    <row r="95" spans="1:7" ht="12.75" customHeight="1" x14ac:dyDescent="0.2">
      <c r="A95" s="131" t="s">
        <v>383</v>
      </c>
      <c r="B95" s="421"/>
      <c r="C95" s="132"/>
      <c r="D95" s="132"/>
      <c r="E95" s="834" t="str">
        <f t="shared" si="4"/>
        <v/>
      </c>
      <c r="F95" s="657">
        <f t="shared" si="3"/>
        <v>1</v>
      </c>
      <c r="G95" s="918"/>
    </row>
    <row r="96" spans="1:7" ht="12.75" customHeight="1" x14ac:dyDescent="0.2">
      <c r="A96" s="131" t="s">
        <v>384</v>
      </c>
      <c r="B96" s="421"/>
      <c r="C96" s="132"/>
      <c r="D96" s="132"/>
      <c r="E96" s="834" t="str">
        <f t="shared" si="4"/>
        <v/>
      </c>
      <c r="F96" s="657">
        <f t="shared" si="3"/>
        <v>1</v>
      </c>
      <c r="G96" s="918"/>
    </row>
    <row r="97" spans="1:7" ht="12.75" customHeight="1" x14ac:dyDescent="0.2">
      <c r="A97" s="131" t="s">
        <v>385</v>
      </c>
      <c r="B97" s="421"/>
      <c r="C97" s="132"/>
      <c r="D97" s="132"/>
      <c r="E97" s="834" t="str">
        <f t="shared" si="4"/>
        <v/>
      </c>
      <c r="F97" s="657">
        <f t="shared" si="3"/>
        <v>1</v>
      </c>
      <c r="G97" s="918"/>
    </row>
    <row r="98" spans="1:7" ht="12.75" customHeight="1" x14ac:dyDescent="0.2">
      <c r="A98" s="131" t="s">
        <v>386</v>
      </c>
      <c r="B98" s="421"/>
      <c r="C98" s="132"/>
      <c r="D98" s="132"/>
      <c r="E98" s="834" t="str">
        <f t="shared" si="4"/>
        <v/>
      </c>
      <c r="F98" s="657">
        <f t="shared" si="3"/>
        <v>1</v>
      </c>
      <c r="G98" s="918"/>
    </row>
    <row r="99" spans="1:7" ht="12.75" customHeight="1" x14ac:dyDescent="0.2">
      <c r="A99" s="131" t="s">
        <v>387</v>
      </c>
      <c r="B99" s="421"/>
      <c r="C99" s="132"/>
      <c r="D99" s="132"/>
      <c r="E99" s="834" t="str">
        <f t="shared" si="4"/>
        <v/>
      </c>
      <c r="F99" s="657">
        <f t="shared" si="3"/>
        <v>1</v>
      </c>
      <c r="G99" s="918"/>
    </row>
    <row r="100" spans="1:7" ht="12.75" customHeight="1" x14ac:dyDescent="0.2">
      <c r="A100" s="131" t="s">
        <v>388</v>
      </c>
      <c r="B100" s="421"/>
      <c r="C100" s="132"/>
      <c r="D100" s="132"/>
      <c r="E100" s="834" t="str">
        <f t="shared" si="4"/>
        <v/>
      </c>
      <c r="F100" s="657">
        <f t="shared" si="3"/>
        <v>1</v>
      </c>
      <c r="G100" s="918"/>
    </row>
    <row r="101" spans="1:7" ht="12.75" customHeight="1" x14ac:dyDescent="0.2">
      <c r="A101" s="131" t="s">
        <v>389</v>
      </c>
      <c r="B101" s="421"/>
      <c r="C101" s="132"/>
      <c r="D101" s="132"/>
      <c r="E101" s="834" t="str">
        <f t="shared" si="4"/>
        <v/>
      </c>
      <c r="F101" s="657">
        <f t="shared" si="3"/>
        <v>1</v>
      </c>
      <c r="G101" s="918"/>
    </row>
    <row r="102" spans="1:7" ht="12.75" customHeight="1" x14ac:dyDescent="0.2">
      <c r="A102" s="131" t="s">
        <v>390</v>
      </c>
      <c r="B102" s="421"/>
      <c r="C102" s="132"/>
      <c r="D102" s="132"/>
      <c r="E102" s="834" t="str">
        <f t="shared" si="4"/>
        <v/>
      </c>
      <c r="F102" s="657">
        <f t="shared" si="3"/>
        <v>1</v>
      </c>
      <c r="G102" s="918"/>
    </row>
    <row r="103" spans="1:7" ht="12.75" customHeight="1" x14ac:dyDescent="0.2">
      <c r="A103" s="131" t="s">
        <v>391</v>
      </c>
      <c r="B103" s="421"/>
      <c r="C103" s="132"/>
      <c r="D103" s="132"/>
      <c r="E103" s="834" t="str">
        <f t="shared" si="4"/>
        <v/>
      </c>
      <c r="F103" s="657">
        <f t="shared" si="3"/>
        <v>1</v>
      </c>
      <c r="G103" s="918"/>
    </row>
    <row r="104" spans="1:7" ht="12.75" customHeight="1" x14ac:dyDescent="0.2">
      <c r="A104" s="131" t="s">
        <v>392</v>
      </c>
      <c r="B104" s="421"/>
      <c r="C104" s="132"/>
      <c r="D104" s="132"/>
      <c r="E104" s="834" t="str">
        <f t="shared" si="4"/>
        <v/>
      </c>
      <c r="F104" s="657">
        <f t="shared" si="3"/>
        <v>1</v>
      </c>
      <c r="G104" s="918"/>
    </row>
    <row r="105" spans="1:7" ht="12.75" customHeight="1" x14ac:dyDescent="0.2">
      <c r="A105" s="131" t="s">
        <v>393</v>
      </c>
      <c r="B105" s="421"/>
      <c r="C105" s="132"/>
      <c r="D105" s="132"/>
      <c r="E105" s="834" t="str">
        <f t="shared" si="4"/>
        <v/>
      </c>
      <c r="F105" s="657">
        <f t="shared" si="3"/>
        <v>1</v>
      </c>
      <c r="G105" s="918"/>
    </row>
    <row r="106" spans="1:7" ht="12.75" customHeight="1" x14ac:dyDescent="0.2">
      <c r="A106" s="131" t="s">
        <v>394</v>
      </c>
      <c r="B106" s="421"/>
      <c r="C106" s="132"/>
      <c r="D106" s="132"/>
      <c r="E106" s="834" t="str">
        <f t="shared" si="4"/>
        <v/>
      </c>
      <c r="F106" s="657">
        <f t="shared" si="3"/>
        <v>1</v>
      </c>
      <c r="G106" s="918"/>
    </row>
    <row r="107" spans="1:7" ht="12.75" customHeight="1" x14ac:dyDescent="0.2">
      <c r="A107" s="131" t="s">
        <v>395</v>
      </c>
      <c r="B107" s="421"/>
      <c r="C107" s="132"/>
      <c r="D107" s="132"/>
      <c r="E107" s="834" t="str">
        <f t="shared" si="4"/>
        <v/>
      </c>
      <c r="F107" s="657">
        <f t="shared" si="3"/>
        <v>1</v>
      </c>
      <c r="G107" s="918"/>
    </row>
    <row r="108" spans="1:7" ht="12.75" customHeight="1" x14ac:dyDescent="0.2">
      <c r="A108" s="131" t="s">
        <v>396</v>
      </c>
      <c r="B108" s="421"/>
      <c r="C108" s="132"/>
      <c r="D108" s="132"/>
      <c r="E108" s="834" t="str">
        <f t="shared" si="4"/>
        <v/>
      </c>
      <c r="F108" s="657">
        <f t="shared" si="3"/>
        <v>1</v>
      </c>
      <c r="G108" s="918"/>
    </row>
    <row r="109" spans="1:7" ht="12.75" customHeight="1" x14ac:dyDescent="0.2">
      <c r="A109" s="131" t="s">
        <v>397</v>
      </c>
      <c r="B109" s="421"/>
      <c r="C109" s="132"/>
      <c r="D109" s="132"/>
      <c r="E109" s="834" t="str">
        <f t="shared" si="4"/>
        <v/>
      </c>
      <c r="F109" s="657">
        <f t="shared" si="3"/>
        <v>1</v>
      </c>
      <c r="G109" s="918"/>
    </row>
    <row r="110" spans="1:7" ht="12.75" customHeight="1" x14ac:dyDescent="0.2">
      <c r="A110" s="131" t="s">
        <v>398</v>
      </c>
      <c r="B110" s="421"/>
      <c r="C110" s="132"/>
      <c r="D110" s="132"/>
      <c r="E110" s="834" t="str">
        <f t="shared" si="4"/>
        <v/>
      </c>
      <c r="F110" s="657">
        <f t="shared" si="3"/>
        <v>1</v>
      </c>
      <c r="G110" s="918"/>
    </row>
    <row r="111" spans="1:7" ht="12.75" customHeight="1" x14ac:dyDescent="0.2">
      <c r="A111" s="131" t="s">
        <v>399</v>
      </c>
      <c r="B111" s="421"/>
      <c r="C111" s="132"/>
      <c r="D111" s="132"/>
      <c r="E111" s="834" t="str">
        <f t="shared" si="4"/>
        <v/>
      </c>
      <c r="F111" s="657">
        <f t="shared" si="3"/>
        <v>1</v>
      </c>
      <c r="G111" s="918"/>
    </row>
    <row r="112" spans="1:7" ht="12.75" customHeight="1" x14ac:dyDescent="0.2">
      <c r="A112" s="131" t="s">
        <v>400</v>
      </c>
      <c r="B112" s="421"/>
      <c r="C112" s="132"/>
      <c r="D112" s="132"/>
      <c r="E112" s="834" t="str">
        <f t="shared" si="4"/>
        <v/>
      </c>
      <c r="F112" s="657">
        <f t="shared" si="3"/>
        <v>1</v>
      </c>
      <c r="G112" s="918"/>
    </row>
    <row r="113" spans="1:7" ht="12.75" customHeight="1" x14ac:dyDescent="0.2">
      <c r="A113" s="131" t="s">
        <v>401</v>
      </c>
      <c r="B113" s="421"/>
      <c r="C113" s="132"/>
      <c r="D113" s="132"/>
      <c r="E113" s="834" t="str">
        <f t="shared" si="4"/>
        <v/>
      </c>
      <c r="F113" s="657">
        <f t="shared" si="3"/>
        <v>1</v>
      </c>
      <c r="G113" s="918"/>
    </row>
    <row r="114" spans="1:7" ht="12.75" customHeight="1" x14ac:dyDescent="0.2">
      <c r="A114" s="131" t="s">
        <v>402</v>
      </c>
      <c r="B114" s="421"/>
      <c r="C114" s="132"/>
      <c r="D114" s="132"/>
      <c r="E114" s="834" t="str">
        <f t="shared" si="4"/>
        <v/>
      </c>
      <c r="F114" s="657">
        <f t="shared" si="3"/>
        <v>1</v>
      </c>
      <c r="G114" s="918"/>
    </row>
    <row r="115" spans="1:7" ht="12.75" customHeight="1" x14ac:dyDescent="0.2">
      <c r="A115" s="131" t="s">
        <v>403</v>
      </c>
      <c r="B115" s="421"/>
      <c r="C115" s="132"/>
      <c r="D115" s="132"/>
      <c r="E115" s="834" t="str">
        <f t="shared" si="4"/>
        <v/>
      </c>
      <c r="F115" s="657">
        <f t="shared" si="3"/>
        <v>1</v>
      </c>
      <c r="G115" s="918"/>
    </row>
    <row r="116" spans="1:7" ht="12.75" customHeight="1" x14ac:dyDescent="0.2">
      <c r="A116" s="131" t="s">
        <v>404</v>
      </c>
      <c r="B116" s="421"/>
      <c r="C116" s="132"/>
      <c r="D116" s="132"/>
      <c r="E116" s="834" t="str">
        <f>IF(ISNA(VLOOKUP(B116,$D$4:$E$14,2,FALSE)*F116),"",VLOOKUP(B116,$D$4:$E$14,2,FALSE)*F116)</f>
        <v/>
      </c>
      <c r="F116" s="657">
        <f t="shared" si="3"/>
        <v>1</v>
      </c>
      <c r="G116" s="918"/>
    </row>
    <row r="117" spans="1:7" ht="12.75" hidden="1" customHeight="1" x14ac:dyDescent="0.2">
      <c r="A117" s="545"/>
      <c r="B117" s="830"/>
      <c r="C117" s="546"/>
      <c r="D117" s="546"/>
      <c r="E117" s="834" t="e">
        <f>IF(#REF!="","",IF(#REF!="EHCP","0",IF(#REF!="Y",#REF!*F117*#REF!,IF((#REF!*F117*#REF!)-(6000*F117)&lt;0,0,(#REF!*F117*#REF!)-(6000*F117)))))</f>
        <v>#REF!</v>
      </c>
      <c r="F117" s="571">
        <f>IF(C117="Y",69/201,IF(D117="Y",132/201,1))</f>
        <v>1</v>
      </c>
      <c r="G117" s="918"/>
    </row>
    <row r="118" spans="1:7" ht="13.5" thickBot="1" x14ac:dyDescent="0.25">
      <c r="A118" s="547"/>
      <c r="B118" s="548"/>
      <c r="C118" s="549"/>
      <c r="D118" s="549"/>
      <c r="E118" s="693">
        <f>IF(ISNA(SUM(E17:E116)),0,SUM(E17:E116))</f>
        <v>0</v>
      </c>
      <c r="F118" s="573"/>
      <c r="G118" s="355"/>
    </row>
    <row r="119" spans="1:7" x14ac:dyDescent="0.2">
      <c r="A119" s="387"/>
      <c r="B119" s="387"/>
      <c r="C119" s="387"/>
      <c r="D119" s="387"/>
      <c r="E119" s="435"/>
      <c r="G119" s="355"/>
    </row>
    <row r="120" spans="1:7" x14ac:dyDescent="0.2">
      <c r="A120" s="537"/>
      <c r="B120" s="537"/>
      <c r="C120" s="537"/>
      <c r="D120" s="537"/>
      <c r="E120" s="537"/>
      <c r="G120" s="355"/>
    </row>
    <row r="121" spans="1:7" x14ac:dyDescent="0.2">
      <c r="A121" s="537"/>
      <c r="B121" s="537"/>
      <c r="C121" s="537"/>
      <c r="D121" s="537"/>
      <c r="E121" s="537"/>
      <c r="G121" s="355"/>
    </row>
    <row r="122" spans="1:7" x14ac:dyDescent="0.2">
      <c r="A122" s="537"/>
      <c r="B122" s="537"/>
      <c r="C122" s="537"/>
      <c r="D122" s="537"/>
      <c r="E122" s="550"/>
      <c r="G122" s="355"/>
    </row>
    <row r="123" spans="1:7" x14ac:dyDescent="0.2">
      <c r="A123" s="537"/>
      <c r="B123" s="537"/>
      <c r="C123" s="537"/>
      <c r="D123" s="537"/>
      <c r="E123" s="537"/>
      <c r="G123" s="355"/>
    </row>
    <row r="124" spans="1:7" x14ac:dyDescent="0.2">
      <c r="A124" s="537"/>
      <c r="B124" s="537"/>
      <c r="C124" s="355"/>
      <c r="D124" s="355"/>
      <c r="E124" s="537"/>
      <c r="G124" s="355"/>
    </row>
    <row r="125" spans="1:7" x14ac:dyDescent="0.2">
      <c r="A125" s="537"/>
      <c r="B125" s="537"/>
      <c r="C125" s="355"/>
      <c r="D125" s="355"/>
      <c r="E125" s="537"/>
      <c r="G125" s="355"/>
    </row>
    <row r="126" spans="1:7" x14ac:dyDescent="0.2">
      <c r="A126" s="537"/>
      <c r="B126" s="537"/>
      <c r="C126" s="355"/>
      <c r="D126" s="355"/>
      <c r="E126" s="537"/>
      <c r="G126" s="355"/>
    </row>
    <row r="127" spans="1:7" x14ac:dyDescent="0.2">
      <c r="A127" s="537"/>
      <c r="B127" s="537"/>
      <c r="C127" s="355"/>
      <c r="D127" s="355"/>
      <c r="E127" s="537"/>
      <c r="G127" s="355"/>
    </row>
    <row r="128" spans="1:7" x14ac:dyDescent="0.2">
      <c r="A128" s="537"/>
      <c r="B128" s="537"/>
      <c r="C128" s="355"/>
      <c r="D128" s="355"/>
      <c r="E128" s="537"/>
      <c r="G128" s="355"/>
    </row>
    <row r="129" spans="1:7" x14ac:dyDescent="0.2">
      <c r="A129" s="537"/>
      <c r="B129" s="537"/>
      <c r="C129" s="355"/>
      <c r="D129" s="355"/>
      <c r="E129" s="537"/>
      <c r="G129" s="355"/>
    </row>
    <row r="130" spans="1:7" x14ac:dyDescent="0.2">
      <c r="A130" s="537"/>
      <c r="B130" s="537"/>
      <c r="C130" s="355"/>
      <c r="D130" s="355"/>
      <c r="E130" s="537"/>
      <c r="G130" s="355"/>
    </row>
    <row r="131" spans="1:7" x14ac:dyDescent="0.2">
      <c r="A131" s="537"/>
      <c r="B131" s="537"/>
      <c r="C131" s="355"/>
      <c r="D131" s="355"/>
      <c r="E131" s="537"/>
      <c r="G131" s="355"/>
    </row>
    <row r="132" spans="1:7" x14ac:dyDescent="0.2">
      <c r="A132" s="355"/>
      <c r="B132" s="355"/>
      <c r="C132" s="355"/>
      <c r="D132" s="355"/>
      <c r="E132" s="537"/>
      <c r="G132" s="355"/>
    </row>
    <row r="133" spans="1:7" x14ac:dyDescent="0.2">
      <c r="A133" s="355"/>
      <c r="B133" s="355"/>
      <c r="C133" s="355"/>
      <c r="D133" s="355"/>
      <c r="E133" s="537"/>
      <c r="G133" s="355"/>
    </row>
    <row r="134" spans="1:7" x14ac:dyDescent="0.2">
      <c r="A134" s="355"/>
      <c r="B134" s="355"/>
      <c r="C134" s="355"/>
      <c r="D134" s="355"/>
      <c r="E134" s="537"/>
      <c r="G134" s="355"/>
    </row>
    <row r="135" spans="1:7" x14ac:dyDescent="0.2">
      <c r="A135" s="355"/>
      <c r="B135" s="355"/>
      <c r="C135" s="355"/>
      <c r="D135" s="355"/>
      <c r="E135" s="537"/>
      <c r="G135" s="355"/>
    </row>
    <row r="136" spans="1:7" x14ac:dyDescent="0.2">
      <c r="A136" s="355"/>
      <c r="B136" s="355"/>
      <c r="C136" s="355"/>
      <c r="D136" s="355"/>
      <c r="E136" s="537"/>
      <c r="G136" s="355"/>
    </row>
    <row r="137" spans="1:7" x14ac:dyDescent="0.2">
      <c r="A137" s="355"/>
      <c r="B137" s="355"/>
      <c r="C137" s="355"/>
      <c r="D137" s="355"/>
      <c r="E137" s="537"/>
      <c r="G137" s="355"/>
    </row>
    <row r="138" spans="1:7" x14ac:dyDescent="0.2">
      <c r="A138" s="355"/>
      <c r="B138" s="355"/>
      <c r="C138" s="355"/>
      <c r="D138" s="355"/>
      <c r="E138" s="537"/>
      <c r="G138" s="355"/>
    </row>
    <row r="139" spans="1:7" x14ac:dyDescent="0.2">
      <c r="A139" s="355"/>
      <c r="B139" s="355"/>
      <c r="C139" s="355"/>
      <c r="D139" s="355"/>
      <c r="E139" s="537"/>
      <c r="G139" s="355"/>
    </row>
    <row r="140" spans="1:7" x14ac:dyDescent="0.2">
      <c r="A140" s="355"/>
      <c r="B140" s="355"/>
      <c r="C140" s="355"/>
      <c r="D140" s="355"/>
      <c r="E140" s="537"/>
      <c r="G140" s="355"/>
    </row>
    <row r="141" spans="1:7" x14ac:dyDescent="0.2">
      <c r="A141" s="355"/>
      <c r="B141" s="355"/>
      <c r="C141" s="355"/>
      <c r="D141" s="355"/>
      <c r="E141" s="537"/>
      <c r="G141" s="355"/>
    </row>
    <row r="142" spans="1:7" x14ac:dyDescent="0.2">
      <c r="A142" s="355"/>
      <c r="B142" s="355"/>
      <c r="C142" s="355"/>
      <c r="D142" s="355"/>
      <c r="E142" s="537"/>
      <c r="G142" s="355"/>
    </row>
    <row r="143" spans="1:7" x14ac:dyDescent="0.2">
      <c r="A143" s="355"/>
      <c r="B143" s="355"/>
      <c r="C143" s="355"/>
      <c r="D143" s="355"/>
      <c r="E143" s="537"/>
      <c r="G143" s="355"/>
    </row>
    <row r="144" spans="1:7" x14ac:dyDescent="0.2">
      <c r="A144" s="355"/>
      <c r="B144" s="355"/>
      <c r="C144" s="355"/>
      <c r="D144" s="355"/>
      <c r="E144" s="537"/>
      <c r="G144" s="355"/>
    </row>
    <row r="145" spans="1:7" x14ac:dyDescent="0.2">
      <c r="A145" s="355"/>
      <c r="B145" s="355"/>
      <c r="C145" s="355"/>
      <c r="D145" s="355"/>
      <c r="E145" s="537"/>
      <c r="G145" s="355"/>
    </row>
    <row r="146" spans="1:7" x14ac:dyDescent="0.2">
      <c r="A146" s="355"/>
      <c r="B146" s="355"/>
      <c r="C146" s="355"/>
      <c r="D146" s="355"/>
      <c r="E146" s="537"/>
      <c r="G146" s="355"/>
    </row>
    <row r="147" spans="1:7" x14ac:dyDescent="0.2">
      <c r="A147" s="355"/>
      <c r="B147" s="355"/>
      <c r="C147" s="355"/>
      <c r="D147" s="355"/>
      <c r="E147" s="537"/>
      <c r="G147" s="355"/>
    </row>
    <row r="148" spans="1:7" x14ac:dyDescent="0.2">
      <c r="A148" s="355"/>
      <c r="B148" s="355"/>
      <c r="C148" s="355"/>
      <c r="D148" s="355"/>
      <c r="E148" s="537"/>
      <c r="G148" s="355"/>
    </row>
    <row r="149" spans="1:7" x14ac:dyDescent="0.2">
      <c r="A149" s="355"/>
      <c r="B149" s="355"/>
      <c r="C149" s="355"/>
      <c r="D149" s="355"/>
      <c r="E149" s="537"/>
      <c r="G149" s="355"/>
    </row>
    <row r="150" spans="1:7" x14ac:dyDescent="0.2">
      <c r="A150" s="355"/>
      <c r="B150" s="355"/>
      <c r="C150" s="355"/>
      <c r="D150" s="355"/>
      <c r="E150" s="537"/>
      <c r="G150" s="355"/>
    </row>
    <row r="151" spans="1:7" x14ac:dyDescent="0.2">
      <c r="A151" s="355"/>
      <c r="B151" s="355"/>
      <c r="C151" s="355"/>
      <c r="D151" s="355"/>
      <c r="E151" s="537"/>
      <c r="G151" s="355"/>
    </row>
    <row r="152" spans="1:7" x14ac:dyDescent="0.2">
      <c r="A152" s="355"/>
      <c r="B152" s="355"/>
      <c r="C152" s="355"/>
      <c r="D152" s="355"/>
      <c r="E152" s="537"/>
      <c r="G152" s="355"/>
    </row>
    <row r="153" spans="1:7" x14ac:dyDescent="0.2">
      <c r="A153" s="355"/>
      <c r="B153" s="355"/>
      <c r="C153" s="355"/>
      <c r="D153" s="355"/>
      <c r="E153" s="537"/>
      <c r="G153" s="355"/>
    </row>
    <row r="154" spans="1:7" x14ac:dyDescent="0.2">
      <c r="A154" s="355"/>
      <c r="B154" s="355"/>
      <c r="C154" s="355"/>
      <c r="D154" s="355"/>
      <c r="E154" s="537"/>
      <c r="G154" s="355"/>
    </row>
    <row r="155" spans="1:7" x14ac:dyDescent="0.2">
      <c r="A155" s="355"/>
      <c r="B155" s="355"/>
      <c r="C155" s="355"/>
      <c r="D155" s="355"/>
      <c r="E155" s="537"/>
      <c r="G155" s="355"/>
    </row>
    <row r="156" spans="1:7" x14ac:dyDescent="0.2">
      <c r="A156" s="355"/>
      <c r="B156" s="355"/>
      <c r="C156" s="355"/>
      <c r="D156" s="355"/>
      <c r="E156" s="537"/>
      <c r="G156" s="355"/>
    </row>
    <row r="157" spans="1:7" x14ac:dyDescent="0.2">
      <c r="A157" s="355"/>
      <c r="B157" s="355"/>
      <c r="C157" s="355"/>
      <c r="D157" s="355"/>
      <c r="E157" s="537"/>
      <c r="G157" s="355"/>
    </row>
    <row r="158" spans="1:7" x14ac:dyDescent="0.2">
      <c r="A158" s="355"/>
      <c r="B158" s="355"/>
      <c r="C158" s="355"/>
      <c r="D158" s="355"/>
      <c r="E158" s="537"/>
      <c r="G158" s="355"/>
    </row>
    <row r="159" spans="1:7" x14ac:dyDescent="0.2">
      <c r="A159" s="355"/>
      <c r="B159" s="355"/>
      <c r="C159" s="355"/>
      <c r="D159" s="355"/>
      <c r="E159" s="537"/>
      <c r="G159" s="355"/>
    </row>
    <row r="160" spans="1:7" x14ac:dyDescent="0.2">
      <c r="A160" s="355"/>
      <c r="B160" s="355"/>
      <c r="C160" s="355"/>
      <c r="D160" s="355"/>
      <c r="E160" s="537"/>
      <c r="G160" s="355"/>
    </row>
    <row r="161" spans="1:7" x14ac:dyDescent="0.2">
      <c r="A161" s="355"/>
      <c r="B161" s="355"/>
      <c r="C161" s="355"/>
      <c r="D161" s="355"/>
      <c r="E161" s="537"/>
      <c r="G161" s="355"/>
    </row>
    <row r="162" spans="1:7" x14ac:dyDescent="0.2">
      <c r="A162" s="355"/>
      <c r="B162" s="355"/>
      <c r="C162" s="355"/>
      <c r="D162" s="355"/>
      <c r="E162" s="537"/>
      <c r="G162" s="355"/>
    </row>
    <row r="163" spans="1:7" x14ac:dyDescent="0.2">
      <c r="A163" s="355"/>
      <c r="B163" s="355"/>
      <c r="C163" s="355"/>
      <c r="D163" s="355"/>
      <c r="E163" s="537"/>
      <c r="G163" s="355"/>
    </row>
    <row r="164" spans="1:7" x14ac:dyDescent="0.2">
      <c r="A164" s="355"/>
      <c r="B164" s="355"/>
      <c r="C164" s="355"/>
      <c r="D164" s="355"/>
      <c r="E164" s="537"/>
      <c r="G164" s="355"/>
    </row>
    <row r="165" spans="1:7" x14ac:dyDescent="0.2">
      <c r="A165" s="355"/>
      <c r="B165" s="355"/>
      <c r="C165" s="355"/>
      <c r="D165" s="355"/>
      <c r="E165" s="537"/>
      <c r="G165" s="355"/>
    </row>
    <row r="166" spans="1:7" x14ac:dyDescent="0.2">
      <c r="A166" s="355"/>
      <c r="B166" s="355"/>
      <c r="C166" s="355"/>
      <c r="D166" s="355"/>
      <c r="E166" s="537"/>
      <c r="G166" s="355"/>
    </row>
    <row r="167" spans="1:7" x14ac:dyDescent="0.2">
      <c r="A167" s="355"/>
      <c r="B167" s="355"/>
      <c r="C167" s="355"/>
      <c r="D167" s="355"/>
      <c r="E167" s="537"/>
      <c r="G167" s="355"/>
    </row>
    <row r="168" spans="1:7" x14ac:dyDescent="0.2">
      <c r="A168" s="355"/>
      <c r="B168" s="355"/>
      <c r="C168" s="355"/>
      <c r="D168" s="355"/>
      <c r="E168" s="537"/>
      <c r="G168" s="355"/>
    </row>
    <row r="169" spans="1:7" x14ac:dyDescent="0.2">
      <c r="A169" s="355"/>
      <c r="B169" s="355"/>
      <c r="C169" s="355"/>
      <c r="D169" s="355"/>
      <c r="E169" s="537"/>
      <c r="G169" s="355"/>
    </row>
    <row r="170" spans="1:7" x14ac:dyDescent="0.2">
      <c r="A170" s="355"/>
      <c r="B170" s="355"/>
      <c r="C170" s="355"/>
      <c r="D170" s="355"/>
      <c r="E170" s="537"/>
      <c r="G170" s="355"/>
    </row>
  </sheetData>
  <sheetProtection algorithmName="SHA-512" hashValue="57fFKstCSh4HgXgpy7G6nhtyDhCWBxrueukDPV2i3DzatHQLo3Whz/EAYUM/R64A2+lwEir4jkgy4ebamalgqw==" saltValue="v3jjE2+UzL+tNtWdn93a5w==" spinCount="100000" sheet="1" formatCells="0"/>
  <mergeCells count="3">
    <mergeCell ref="B14:C14"/>
    <mergeCell ref="A3:C13"/>
    <mergeCell ref="A1:E1"/>
  </mergeCells>
  <phoneticPr fontId="30" type="noConversion"/>
  <conditionalFormatting sqref="B17:B116">
    <cfRule type="expression" dxfId="31" priority="1">
      <formula>#REF!="SEND"</formula>
    </cfRule>
  </conditionalFormatting>
  <dataValidations count="2">
    <dataValidation type="list" allowBlank="1" showInputMessage="1" showErrorMessage="1" sqref="C17:D116">
      <formula1>"Y"</formula1>
    </dataValidation>
    <dataValidation type="list" allowBlank="1" showInputMessage="1" showErrorMessage="1" sqref="B17:B116">
      <formula1>$D$4:$D$14</formula1>
    </dataValidation>
  </dataValidations>
  <hyperlinks>
    <hyperlink ref="E2" location="' Guidance Notes'!A30" display="Go to Guidance Notes"/>
  </hyperlinks>
  <pageMargins left="0.59055118110236227" right="0.59055118110236227" top="0.39370078740157483" bottom="0.39370078740157483" header="0.19685039370078741" footer="0.19685039370078741"/>
  <pageSetup paperSize="9" scale="74" fitToHeight="2" orientation="portrait" blackAndWhite="1" r:id="rId1"/>
  <headerFooter alignWithMargins="0">
    <oddHeader>&amp;R&amp;F</oddHeader>
    <oddFooter>&amp;LFormat Prepared by the Schools Finance Team&amp;C&amp;P&amp;RPrinted &amp;T &amp;D</oddFooter>
  </headerFooter>
  <rowBreaks count="1" manualBreakCount="1">
    <brk id="62" max="8"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indexed="41"/>
    <pageSetUpPr fitToPage="1"/>
  </sheetPr>
  <dimension ref="A1:N59"/>
  <sheetViews>
    <sheetView zoomScaleNormal="100" workbookViewId="0">
      <pane ySplit="1" topLeftCell="A38" activePane="bottomLeft" state="frozen"/>
      <selection pane="bottomLeft" activeCell="G33" sqref="G33"/>
    </sheetView>
  </sheetViews>
  <sheetFormatPr defaultColWidth="9.140625" defaultRowHeight="12.75" x14ac:dyDescent="0.2"/>
  <cols>
    <col min="1" max="1" width="5.5703125" style="355" customWidth="1"/>
    <col min="2" max="2" width="13.140625" style="355" customWidth="1"/>
    <col min="3" max="4" width="9.140625" style="355"/>
    <col min="5" max="5" width="9.5703125" style="355" customWidth="1"/>
    <col min="6" max="6" width="19.5703125" style="355" customWidth="1"/>
    <col min="7" max="7" width="13.7109375" style="355" customWidth="1"/>
    <col min="8" max="8" width="15.28515625" style="355" customWidth="1"/>
    <col min="9" max="9" width="9.5703125" style="389" hidden="1" customWidth="1"/>
    <col min="10" max="10" width="10.5703125" style="389" hidden="1" customWidth="1"/>
    <col min="11" max="11" width="18.7109375" style="521" hidden="1" customWidth="1"/>
    <col min="12" max="16384" width="9.140625" style="355"/>
  </cols>
  <sheetData>
    <row r="1" spans="1:14" ht="15.75" x14ac:dyDescent="0.2">
      <c r="A1" s="1174" t="str">
        <f>Summary!A1</f>
        <v>Matching Green CE P</v>
      </c>
      <c r="B1" s="1175"/>
      <c r="C1" s="1175"/>
      <c r="D1" s="1175"/>
      <c r="E1" s="1175"/>
      <c r="F1" s="1175"/>
      <c r="G1" s="1175"/>
      <c r="H1" s="1176"/>
      <c r="I1" s="519">
        <f>Income!E1</f>
        <v>3370</v>
      </c>
      <c r="J1" s="520" t="str">
        <f>IF(OR(I1="",I1="(please enter)"),"",IF(OR(I1=1640,I1=1642),"N",IF(I1&lt;5000,"P",IF(AND(I1&gt;4999,I1&lt;8000),"S",IF(I1&gt;7999,"SP","")))))</f>
        <v>P</v>
      </c>
      <c r="K1" s="521">
        <f>IF(ISNA(VLOOKUP(I1,Lookup!A:E,5,FALSE)),"",VLOOKUP(I1,Lookup!A:E,5,FALSE))</f>
        <v>4779.2</v>
      </c>
    </row>
    <row r="2" spans="1:14" ht="7.5" customHeight="1" x14ac:dyDescent="0.2"/>
    <row r="3" spans="1:14" ht="25.5" customHeight="1" x14ac:dyDescent="0.2">
      <c r="A3" s="1193" t="s">
        <v>903</v>
      </c>
      <c r="B3" s="1193"/>
      <c r="C3" s="1193"/>
      <c r="D3" s="1193"/>
      <c r="E3" s="1193"/>
      <c r="F3" s="1193"/>
      <c r="G3" s="1193"/>
      <c r="H3" s="1193"/>
    </row>
    <row r="4" spans="1:14" ht="53.25" customHeight="1" x14ac:dyDescent="0.2">
      <c r="A4" s="1191" t="str">
        <f>IF(ISNA(VLOOKUP(J1,I8:K11,3,FALSE)),"Please enter your school's cost code in cell E1 of the Income worksheet",VLOOKUP(J1,I8:K11,3,FALSE))</f>
        <v>This sheet estimates the minimum Schools Block funding due to your school using the Minimum Funding Guarantee and Minimum Funding Per Pupil Formulas.  The estimated funding will be shown on the Income worksheet. This will help you to draft a preliminary budget plan before the final funding figure is known.</v>
      </c>
      <c r="B4" s="1191"/>
      <c r="C4" s="1191"/>
      <c r="D4" s="1191"/>
      <c r="E4" s="1191"/>
      <c r="F4" s="1191"/>
      <c r="G4" s="1191"/>
      <c r="H4" s="1191"/>
    </row>
    <row r="5" spans="1:14" ht="51" customHeight="1" x14ac:dyDescent="0.2">
      <c r="A5" s="1195" t="s">
        <v>810</v>
      </c>
      <c r="B5" s="1196"/>
      <c r="C5" s="1196"/>
      <c r="D5" s="1196"/>
      <c r="E5" s="1196"/>
      <c r="F5" s="1196"/>
      <c r="G5" s="1196"/>
      <c r="H5" s="1196"/>
      <c r="N5" s="555"/>
    </row>
    <row r="6" spans="1:14" ht="33.75" customHeight="1" x14ac:dyDescent="0.2">
      <c r="A6" s="1197" t="str">
        <f>IF(J1="N","","Remember that when the actual budget share allocations are released you will need to amend the estimated allocation on the Income sheet with the actual budget share figure.")</f>
        <v>Remember that when the actual budget share allocations are released you will need to amend the estimated allocation on the Income sheet with the actual budget share figure.</v>
      </c>
      <c r="B6" s="1197"/>
      <c r="C6" s="1197"/>
      <c r="D6" s="1197"/>
      <c r="E6" s="1197"/>
      <c r="F6" s="1197"/>
      <c r="G6" s="1197"/>
      <c r="H6" s="1197"/>
    </row>
    <row r="8" spans="1:14" ht="18" customHeight="1" x14ac:dyDescent="0.2">
      <c r="A8" s="704" t="s">
        <v>905</v>
      </c>
      <c r="I8" s="570" t="s">
        <v>811</v>
      </c>
      <c r="J8" s="422"/>
      <c r="K8" s="521" t="s">
        <v>807</v>
      </c>
    </row>
    <row r="9" spans="1:14" x14ac:dyDescent="0.2">
      <c r="A9" s="522" t="s">
        <v>487</v>
      </c>
      <c r="I9" s="570" t="s">
        <v>812</v>
      </c>
      <c r="J9" s="422"/>
      <c r="K9" s="702" t="s">
        <v>904</v>
      </c>
    </row>
    <row r="10" spans="1:14" ht="25.5" customHeight="1" x14ac:dyDescent="0.2">
      <c r="A10" s="1199" t="str">
        <f>'Fin.Yr Lookups'!A16&amp;" Schools Block funded pupil number (adjusted for full year effect of estimated additional pupils funded from September "&amp;'Fin.Yr Lookups'!A14&amp;" &amp; excluding Reception uplift)"</f>
        <v>2019-20 Schools Block funded pupil number (adjusted for full year effect of estimated additional pupils funded from September 2019 &amp; excluding Reception uplift)</v>
      </c>
      <c r="B10" s="1199"/>
      <c r="C10" s="1199"/>
      <c r="D10" s="1199"/>
      <c r="E10" s="1199"/>
      <c r="F10" s="1199"/>
      <c r="G10" s="1200"/>
      <c r="H10" s="696">
        <f>VLOOKUP(I1,Lookup!A:N,14,FALSE)</f>
        <v>80</v>
      </c>
      <c r="I10" s="570" t="s">
        <v>813</v>
      </c>
      <c r="J10" s="422"/>
      <c r="K10" s="702" t="s">
        <v>904</v>
      </c>
    </row>
    <row r="11" spans="1:14" ht="6" customHeight="1" x14ac:dyDescent="0.2">
      <c r="I11" s="570" t="s">
        <v>814</v>
      </c>
      <c r="J11" s="422"/>
      <c r="K11" s="521" t="s">
        <v>486</v>
      </c>
    </row>
    <row r="12" spans="1:14" ht="12.75" customHeight="1" x14ac:dyDescent="0.2">
      <c r="A12" s="355" t="str">
        <f>IF($J$1="S","Pupils on the October "&amp;'Fin.Yr Lookups'!A14&amp;" census (incl. special unit pupils but excl. 6th form)","Pupils on the October "&amp;'Fin.Yr Lookups'!A14&amp;" census (incl. special unit pupils but excl. nursery)")</f>
        <v>Pupils on the October 2019 census (incl. special unit pupils but excl. nursery)</v>
      </c>
      <c r="H12" s="1001">
        <v>79</v>
      </c>
      <c r="J12" s="422"/>
    </row>
    <row r="13" spans="1:14" ht="12.75" customHeight="1" x14ac:dyDescent="0.2">
      <c r="A13" s="555" t="s">
        <v>902</v>
      </c>
      <c r="B13" s="1172" t="str">
        <f>"Funded Estimated Pupils - Autumn "&amp;'Fin.Yr Lookups'!A3&amp;" (7/12ths of actual expected intake)"</f>
        <v>Funded Estimated Pupils - Autumn 2020 (7/12ths of actual expected intake)</v>
      </c>
      <c r="C13" s="1191"/>
      <c r="D13" s="1191"/>
      <c r="E13" s="1191"/>
      <c r="F13" s="1191"/>
      <c r="G13" s="1192"/>
      <c r="H13" s="1002">
        <v>0</v>
      </c>
      <c r="J13" s="422"/>
    </row>
    <row r="14" spans="1:14" ht="12.75" customHeight="1" x14ac:dyDescent="0.2">
      <c r="A14" s="555" t="str">
        <f>'Fin.Yr Lookups'!A5&amp;" Schools Block funded pupil number"</f>
        <v>2020-21 Schools Block funded pupil number</v>
      </c>
      <c r="B14" s="559"/>
      <c r="C14" s="559"/>
      <c r="D14" s="559"/>
      <c r="E14" s="559"/>
      <c r="F14" s="559"/>
      <c r="G14" s="560"/>
      <c r="H14" s="696">
        <f>H12+H13</f>
        <v>79</v>
      </c>
      <c r="J14" s="422"/>
    </row>
    <row r="15" spans="1:14" ht="6" customHeight="1" x14ac:dyDescent="0.2">
      <c r="G15" s="468"/>
      <c r="H15" s="697"/>
      <c r="J15" s="422"/>
    </row>
    <row r="16" spans="1:14" x14ac:dyDescent="0.2">
      <c r="A16" s="555" t="s">
        <v>809</v>
      </c>
      <c r="G16" s="523"/>
      <c r="H16" s="698">
        <f>H14-H10</f>
        <v>-1</v>
      </c>
    </row>
    <row r="17" spans="1:12" ht="6" customHeight="1" x14ac:dyDescent="0.2">
      <c r="J17" s="422"/>
    </row>
    <row r="18" spans="1:12" x14ac:dyDescent="0.2">
      <c r="A18" s="567" t="str">
        <f>'Fin.Yr Lookups'!A16&amp;" Budget Baseline"</f>
        <v>2019-20 Budget Baseline</v>
      </c>
      <c r="J18" s="422"/>
    </row>
    <row r="19" spans="1:12" x14ac:dyDescent="0.2">
      <c r="A19" s="555" t="str">
        <f>'Fin.Yr Lookups'!A16&amp;" Schools Block (before de-delegation)"</f>
        <v>2019-20 Schools Block (before de-delegation)</v>
      </c>
      <c r="H19" s="524">
        <f>VLOOKUP(I1,Lookup!A:M,7,FALSE)</f>
        <v>407555</v>
      </c>
    </row>
    <row r="20" spans="1:12" x14ac:dyDescent="0.2">
      <c r="A20" s="555" t="str">
        <f>"Less "&amp;'Fin.Yr Lookups'!A16&amp;" baseline exclusions"</f>
        <v>Less 2019-20 baseline exclusions</v>
      </c>
      <c r="G20" s="530"/>
      <c r="H20" s="528"/>
      <c r="I20" s="529"/>
      <c r="J20" s="529"/>
      <c r="K20" s="527"/>
    </row>
    <row r="21" spans="1:12" x14ac:dyDescent="0.2">
      <c r="A21" s="525"/>
      <c r="B21" s="555" t="s">
        <v>1020</v>
      </c>
      <c r="G21" s="524">
        <f>G33</f>
        <v>151209</v>
      </c>
      <c r="H21" s="531"/>
      <c r="I21" s="526"/>
      <c r="J21" s="526"/>
      <c r="K21" s="527"/>
    </row>
    <row r="22" spans="1:12" x14ac:dyDescent="0.2">
      <c r="A22" s="525"/>
      <c r="B22" s="555" t="s">
        <v>901</v>
      </c>
      <c r="G22" s="524">
        <f>VLOOKUP(Income!E1,Lookup!A:M,13,FALSE)</f>
        <v>0</v>
      </c>
      <c r="H22" s="531"/>
      <c r="I22" s="526"/>
      <c r="J22" s="526"/>
      <c r="K22" s="527"/>
      <c r="L22" s="555"/>
    </row>
    <row r="23" spans="1:12" x14ac:dyDescent="0.2">
      <c r="A23" s="525"/>
      <c r="B23" s="555" t="s">
        <v>854</v>
      </c>
      <c r="G23" s="524">
        <f>VLOOKUP(Income!E1,Lookup!A:R,17,FALSE)</f>
        <v>0</v>
      </c>
      <c r="H23" s="531"/>
      <c r="I23" s="526"/>
      <c r="J23" s="526"/>
      <c r="K23" s="527"/>
    </row>
    <row r="24" spans="1:12" x14ac:dyDescent="0.2">
      <c r="A24" s="525"/>
      <c r="B24" s="525" t="s">
        <v>710</v>
      </c>
      <c r="G24" s="524">
        <f>VLOOKUP(I1,Lookup!A:M,12,FALSE)</f>
        <v>9445.5</v>
      </c>
      <c r="I24" s="526"/>
      <c r="J24" s="526"/>
      <c r="K24" s="527"/>
    </row>
    <row r="25" spans="1:12" x14ac:dyDescent="0.2">
      <c r="A25" s="555" t="str">
        <f>'Fin.Yr Lookups'!A16&amp;" Adjusted Schools Block"</f>
        <v>2019-20 Adjusted Schools Block</v>
      </c>
      <c r="H25" s="524">
        <f>H19-G21-G22-G23-G24</f>
        <v>246900.5</v>
      </c>
      <c r="I25" s="526"/>
      <c r="J25" s="526"/>
      <c r="K25" s="527"/>
    </row>
    <row r="26" spans="1:12" x14ac:dyDescent="0.2">
      <c r="A26" s="525"/>
      <c r="G26" s="528"/>
    </row>
    <row r="27" spans="1:12" x14ac:dyDescent="0.2">
      <c r="A27" s="555" t="str">
        <f>'Fin.Yr Lookups'!A16&amp;" Adjusted Schools Block per funded pupil"</f>
        <v>2019-20 Adjusted Schools Block per funded pupil</v>
      </c>
      <c r="G27" s="574">
        <f>H25/H10</f>
        <v>3086.2562499999999</v>
      </c>
      <c r="J27" s="576"/>
    </row>
    <row r="28" spans="1:12" x14ac:dyDescent="0.2">
      <c r="A28" s="555" t="str">
        <f>"Increase the "&amp;'Fin.Yr Lookups'!A16&amp;" baseline by"</f>
        <v>Increase the 2019-20 baseline by</v>
      </c>
      <c r="D28" s="1000">
        <v>0.01</v>
      </c>
      <c r="G28" s="574">
        <f>G27*D28</f>
        <v>30.862562499999999</v>
      </c>
      <c r="H28" s="528"/>
      <c r="J28" s="532"/>
    </row>
    <row r="29" spans="1:12" ht="13.5" thickBot="1" x14ac:dyDescent="0.25">
      <c r="A29" s="555" t="str">
        <f>'Fin.Yr Lookups'!A5&amp;" Adjusted Schools Block per funded pupil"</f>
        <v>2020-21 Adjusted Schools Block per funded pupil</v>
      </c>
      <c r="G29" s="574">
        <f>G27+G28</f>
        <v>3117.1188124999999</v>
      </c>
      <c r="J29" s="532"/>
    </row>
    <row r="30" spans="1:12" ht="13.5" thickBot="1" x14ac:dyDescent="0.25">
      <c r="A30" s="555" t="str">
        <f>'Fin.Yr Lookups'!A5&amp;" MFG Funding Baseline"</f>
        <v>2020-21 MFG Funding Baseline</v>
      </c>
      <c r="H30" s="533">
        <f>G29*H14</f>
        <v>246252.3861875</v>
      </c>
    </row>
    <row r="31" spans="1:12" x14ac:dyDescent="0.2">
      <c r="A31" s="567"/>
    </row>
    <row r="32" spans="1:12" x14ac:dyDescent="0.2">
      <c r="A32" s="555" t="str">
        <f>"Add "&amp;'Fin.Yr Lookups'!A5&amp;" exclusions"</f>
        <v>Add 2020-21 exclusions</v>
      </c>
      <c r="H32" s="528"/>
    </row>
    <row r="33" spans="1:11" x14ac:dyDescent="0.2">
      <c r="A33" s="525"/>
      <c r="B33" s="555" t="s">
        <v>855</v>
      </c>
      <c r="G33" s="999">
        <v>151209</v>
      </c>
    </row>
    <row r="34" spans="1:11" x14ac:dyDescent="0.2">
      <c r="A34" s="525"/>
      <c r="B34" s="555" t="s">
        <v>901</v>
      </c>
      <c r="G34" s="577">
        <f>G22</f>
        <v>0</v>
      </c>
    </row>
    <row r="35" spans="1:11" x14ac:dyDescent="0.2">
      <c r="A35" s="525"/>
      <c r="B35" s="555" t="s">
        <v>854</v>
      </c>
      <c r="G35" s="577">
        <f>VLOOKUP(Income!E1,Lookup!A:R,18,FALSE)</f>
        <v>0</v>
      </c>
    </row>
    <row r="36" spans="1:11" ht="25.5" customHeight="1" x14ac:dyDescent="0.2">
      <c r="A36" s="525"/>
      <c r="B36" s="1194" t="str">
        <f>"Rates &amp; Rent  (actual "&amp;'Fin.Yr Lookups'!A16&amp;" charge +/- difference between actual "&amp;'Fin.Yr Lookups'!A16&amp;" charge &amp; the "&amp;'Fin.Yr Lookups'!A16&amp;" S251 rates funding"</f>
        <v>Rates &amp; Rent  (actual 2019-20 charge +/- difference between actual 2019-20 charge &amp; the 2019-20 S251 rates funding</v>
      </c>
      <c r="C36" s="1194"/>
      <c r="D36" s="1194"/>
      <c r="E36" s="1194"/>
      <c r="F36" s="1198"/>
      <c r="G36" s="846">
        <v>9820</v>
      </c>
      <c r="H36" s="465"/>
    </row>
    <row r="37" spans="1:11" hidden="1" x14ac:dyDescent="0.2">
      <c r="A37" s="525"/>
      <c r="B37" s="525" t="s">
        <v>711</v>
      </c>
      <c r="D37" s="355" t="str">
        <f>IF(ISERROR("at £"&amp;VLOOKUP(J1,I9:J10,2,FALSE)&amp;" per pupil"),"","at £"&amp;VLOOKUP(J1,I9:J10,2,FALSE)&amp;" per pupil")</f>
        <v>at £ per pupil</v>
      </c>
      <c r="G37" s="524"/>
      <c r="I37" s="534"/>
    </row>
    <row r="38" spans="1:11" x14ac:dyDescent="0.2">
      <c r="A38" s="525" t="s">
        <v>712</v>
      </c>
      <c r="H38" s="524">
        <f>G33+G34+G35+G36</f>
        <v>161029</v>
      </c>
    </row>
    <row r="39" spans="1:11" ht="13.5" thickBot="1" x14ac:dyDescent="0.25"/>
    <row r="40" spans="1:11" ht="15.6" customHeight="1" thickBot="1" x14ac:dyDescent="0.25">
      <c r="A40" s="996" t="str">
        <f>"Estimated "&amp;'Fin.Yr Lookups'!A5&amp;" Minimum Funding Guarantee before De-delegation"</f>
        <v>Estimated 2020-21 Minimum Funding Guarantee before De-delegation</v>
      </c>
      <c r="B40" s="711"/>
      <c r="C40" s="711"/>
      <c r="D40" s="711"/>
      <c r="E40" s="711"/>
      <c r="F40" s="711"/>
      <c r="G40" s="711"/>
      <c r="H40" s="575">
        <f>H30+H38</f>
        <v>407281.38618749997</v>
      </c>
    </row>
    <row r="41" spans="1:11" x14ac:dyDescent="0.2">
      <c r="A41" s="699"/>
      <c r="B41" s="699"/>
      <c r="C41" s="699"/>
      <c r="D41" s="699"/>
      <c r="E41" s="699"/>
      <c r="F41" s="699"/>
      <c r="G41" s="700"/>
      <c r="H41" s="700"/>
    </row>
    <row r="42" spans="1:11" s="703" customFormat="1" ht="15.75" x14ac:dyDescent="0.2">
      <c r="A42" s="705" t="s">
        <v>1017</v>
      </c>
      <c r="B42" s="706"/>
      <c r="C42" s="706"/>
      <c r="D42" s="706"/>
      <c r="E42" s="706"/>
      <c r="F42" s="706"/>
      <c r="G42" s="707"/>
      <c r="H42" s="707"/>
      <c r="I42" s="708"/>
      <c r="J42" s="708"/>
      <c r="K42" s="708"/>
    </row>
    <row r="43" spans="1:11" x14ac:dyDescent="0.2">
      <c r="A43" s="699"/>
      <c r="B43" s="709" t="str">
        <f>'Fin.Yr Lookups'!A5&amp;" Funded pupil number"</f>
        <v>2020-21 Funded pupil number</v>
      </c>
      <c r="C43" s="699"/>
      <c r="D43" s="699"/>
      <c r="E43" s="699"/>
      <c r="F43" s="699"/>
      <c r="G43" s="700"/>
      <c r="H43" s="574">
        <f>H14</f>
        <v>79</v>
      </c>
    </row>
    <row r="44" spans="1:11" x14ac:dyDescent="0.2">
      <c r="A44" s="699"/>
      <c r="B44" s="709" t="s">
        <v>906</v>
      </c>
      <c r="C44" s="699"/>
      <c r="D44" s="699"/>
      <c r="E44" s="699"/>
      <c r="F44" s="699"/>
      <c r="G44" s="700"/>
      <c r="H44" s="524">
        <f>IF(J1="P",3750,IF(J1="S",5000,""))</f>
        <v>3750</v>
      </c>
    </row>
    <row r="45" spans="1:11" x14ac:dyDescent="0.2">
      <c r="A45" s="699"/>
      <c r="B45" s="709" t="s">
        <v>1018</v>
      </c>
      <c r="C45" s="699"/>
      <c r="D45" s="699"/>
      <c r="E45" s="699"/>
      <c r="F45" s="699"/>
      <c r="G45" s="700"/>
      <c r="H45" s="524">
        <f>H43*H44</f>
        <v>296250</v>
      </c>
    </row>
    <row r="46" spans="1:11" ht="3" customHeight="1" x14ac:dyDescent="0.2">
      <c r="A46" s="699"/>
      <c r="B46" s="709"/>
      <c r="C46" s="699"/>
      <c r="D46" s="699"/>
      <c r="E46" s="699"/>
      <c r="F46" s="699"/>
      <c r="I46" s="355"/>
      <c r="J46" s="355"/>
      <c r="K46" s="355"/>
    </row>
    <row r="47" spans="1:11" x14ac:dyDescent="0.2">
      <c r="A47" s="995" t="s">
        <v>902</v>
      </c>
      <c r="B47" s="709" t="s">
        <v>1019</v>
      </c>
      <c r="C47" s="699"/>
      <c r="D47" s="699"/>
      <c r="E47" s="699"/>
      <c r="F47" s="699"/>
      <c r="G47" s="700"/>
      <c r="H47" s="524">
        <f>G34+G35+G36</f>
        <v>9820</v>
      </c>
    </row>
    <row r="48" spans="1:11" ht="3" customHeight="1" thickBot="1" x14ac:dyDescent="0.25">
      <c r="A48" s="699"/>
      <c r="B48" s="709"/>
      <c r="C48" s="699"/>
      <c r="D48" s="699"/>
      <c r="E48" s="699"/>
      <c r="F48" s="699"/>
      <c r="G48" s="700"/>
      <c r="I48" s="355"/>
      <c r="J48" s="355"/>
      <c r="K48" s="355"/>
    </row>
    <row r="49" spans="1:9" ht="15.75" thickBot="1" x14ac:dyDescent="0.25">
      <c r="A49" s="996" t="str">
        <f>"Estimated "&amp;'Fin.Yr Lookups'!A5&amp;" Minimum per Pupi Funding before De-delegation"</f>
        <v>Estimated 2020-21 Minimum per Pupi Funding before De-delegation</v>
      </c>
      <c r="B49" s="701"/>
      <c r="C49" s="699"/>
      <c r="D49" s="699"/>
      <c r="E49" s="699"/>
      <c r="F49" s="699"/>
      <c r="G49" s="700"/>
      <c r="H49" s="710">
        <f>H45+H47</f>
        <v>306070</v>
      </c>
    </row>
    <row r="50" spans="1:9" ht="21" customHeight="1" thickBot="1" x14ac:dyDescent="0.25">
      <c r="A50" s="699"/>
      <c r="B50" s="709"/>
      <c r="C50" s="699"/>
      <c r="D50" s="699"/>
      <c r="E50" s="699"/>
      <c r="F50" s="699"/>
      <c r="G50" s="700"/>
      <c r="H50" s="700"/>
    </row>
    <row r="51" spans="1:9" ht="16.5" thickBot="1" x14ac:dyDescent="0.25">
      <c r="A51" s="711" t="s">
        <v>907</v>
      </c>
      <c r="B51" s="709"/>
      <c r="C51" s="699"/>
      <c r="D51" s="699"/>
      <c r="E51" s="699"/>
      <c r="F51" s="699"/>
      <c r="G51" s="700"/>
      <c r="H51" s="575">
        <f>MAX(H40,H49)</f>
        <v>407281.38618749997</v>
      </c>
    </row>
    <row r="52" spans="1:9" x14ac:dyDescent="0.2">
      <c r="A52" s="555" t="s">
        <v>808</v>
      </c>
      <c r="B52" s="555" t="s">
        <v>808</v>
      </c>
      <c r="I52" s="534"/>
    </row>
    <row r="53" spans="1:9" x14ac:dyDescent="0.2">
      <c r="A53" s="593" t="str">
        <f>"("&amp;'Fin.Yr Lookups'!A16&amp;" de-delegation figure adjusted for the exclusion of Broadband &amp; any change in the funded pupil number)"</f>
        <v>(2019-20 de-delegation figure adjusted for the exclusion of Broadband &amp; any change in the funded pupil number)</v>
      </c>
      <c r="B53" s="593"/>
      <c r="I53" s="534"/>
    </row>
    <row r="54" spans="1:9" x14ac:dyDescent="0.2">
      <c r="A54" s="525"/>
      <c r="B54" s="555"/>
      <c r="C54" s="555" t="s">
        <v>890</v>
      </c>
      <c r="H54" s="577">
        <f>ROUND(VLOOKUP(I1,Lookup!A:H,5,FALSE)/H10*H14,0)</f>
        <v>4719</v>
      </c>
      <c r="I54" s="534"/>
    </row>
    <row r="55" spans="1:9" ht="13.5" thickBot="1" x14ac:dyDescent="0.25">
      <c r="A55" s="525"/>
      <c r="B55" s="555"/>
      <c r="C55" s="555" t="s">
        <v>891</v>
      </c>
      <c r="H55" s="683">
        <f>IF(ISERROR(ROUND(VLOOKUP(I1,Lookup!A:H,8,FALSE)/H10*H14,0)),0,ROUND(VLOOKUP(I1,Lookup!A:H,8,FALSE)/H10*H14,0))</f>
        <v>201</v>
      </c>
      <c r="I55" s="534"/>
    </row>
    <row r="56" spans="1:9" x14ac:dyDescent="0.2">
      <c r="A56" s="525"/>
      <c r="B56" s="555"/>
      <c r="C56" s="555" t="s">
        <v>547</v>
      </c>
      <c r="H56" s="682">
        <f>SUM(H54:H55)</f>
        <v>4920</v>
      </c>
      <c r="I56" s="534"/>
    </row>
    <row r="57" spans="1:9" ht="11.25" customHeight="1" thickBot="1" x14ac:dyDescent="0.25">
      <c r="B57" s="593"/>
    </row>
    <row r="58" spans="1:9" ht="16.5" thickBot="1" x14ac:dyDescent="0.3">
      <c r="A58" s="535" t="str">
        <f>"Estimated "&amp;'Fin.Yr Lookups'!A5&amp;" Schools Block Funding after de-delegation"</f>
        <v>Estimated 2020-21 Schools Block Funding after de-delegation</v>
      </c>
      <c r="H58" s="712">
        <f>IF(OR(Income!E1=1640,Income!E1=1642,Income!E1&gt;7999),0,ROUND(H51-H56,0))</f>
        <v>402361</v>
      </c>
    </row>
    <row r="59" spans="1:9" x14ac:dyDescent="0.2">
      <c r="A59" s="1194"/>
      <c r="B59" s="1194"/>
      <c r="C59" s="1194"/>
      <c r="D59" s="1194"/>
      <c r="E59" s="1194"/>
      <c r="F59" s="1194"/>
      <c r="G59" s="1194"/>
      <c r="H59" s="1194"/>
    </row>
  </sheetData>
  <sheetProtection algorithmName="SHA-512" hashValue="D7ihqmLXBZjR/vEgKVJy01GZeokrAJ84VELKxGIzs27vLmA0t7X/THbXf/GoHvRTEZZt3ik2crhT9gkvb0kS+g==" saltValue="CiB4ank4Zm9gh85niC6rwA==" spinCount="100000" sheet="1" formatCells="0"/>
  <mergeCells count="9">
    <mergeCell ref="B13:G13"/>
    <mergeCell ref="A1:H1"/>
    <mergeCell ref="A4:H4"/>
    <mergeCell ref="A3:H3"/>
    <mergeCell ref="A59:H59"/>
    <mergeCell ref="A5:H5"/>
    <mergeCell ref="A6:H6"/>
    <mergeCell ref="B36:F36"/>
    <mergeCell ref="A10:G10"/>
  </mergeCells>
  <phoneticPr fontId="30" type="noConversion"/>
  <conditionalFormatting sqref="A26:A27">
    <cfRule type="cellIs" dxfId="30" priority="9" stopIfTrue="1" operator="equal">
      <formula>"2013-14 Guaranteed Funding Level"</formula>
    </cfRule>
  </conditionalFormatting>
  <conditionalFormatting sqref="A28">
    <cfRule type="cellIs" dxfId="29" priority="10" stopIfTrue="1" operator="equal">
      <formula>"Total Funding through Essex Formula"</formula>
    </cfRule>
  </conditionalFormatting>
  <conditionalFormatting sqref="A30">
    <cfRule type="cellIs" dxfId="28" priority="11" stopIfTrue="1" operator="equal">
      <formula>"Estimated School Funding prior to de-delegation (the higher of figures A &amp; B)"</formula>
    </cfRule>
  </conditionalFormatting>
  <conditionalFormatting sqref="A10 A24:B24 A20">
    <cfRule type="expression" dxfId="27" priority="13" stopIfTrue="1">
      <formula>$I$1&gt;7999</formula>
    </cfRule>
  </conditionalFormatting>
  <conditionalFormatting sqref="A21:B23">
    <cfRule type="cellIs" dxfId="26" priority="16" stopIfTrue="1" operator="equal">
      <formula>"2013-14 Minimum Funding Guarantee"</formula>
    </cfRule>
  </conditionalFormatting>
  <conditionalFormatting sqref="A25">
    <cfRule type="cellIs" dxfId="25" priority="17" stopIfTrue="1" operator="equal">
      <formula>"Essex Formula Funding"</formula>
    </cfRule>
  </conditionalFormatting>
  <conditionalFormatting sqref="A4">
    <cfRule type="cellIs" dxfId="24" priority="18" stopIfTrue="1" operator="equal">
      <formula>"Nursery schools do not need to use this worksheet as all funding due is in the Early Years Block and so you only need to use the Early Years worksheet to estimate the total funding due to your school."</formula>
    </cfRule>
    <cfRule type="cellIs" dxfId="23" priority="19" stopIfTrue="1" operator="equal">
      <formula>"Please enter your school's cost code in cell E3 of the Income worksheet"</formula>
    </cfRule>
    <cfRule type="cellIs" dxfId="22" priority="20" stopIfTrue="1" operator="equal">
      <formula>"Special schools do not need to use this worksheet as all funding due is in the High Needs Block and so you only need to use the High Needs worksheet to estimate the total funding due to your school."</formula>
    </cfRule>
  </conditionalFormatting>
  <conditionalFormatting sqref="A14">
    <cfRule type="expression" dxfId="21" priority="6" stopIfTrue="1">
      <formula>$I$1&gt;7999</formula>
    </cfRule>
  </conditionalFormatting>
  <conditionalFormatting sqref="A29">
    <cfRule type="cellIs" dxfId="20" priority="5" stopIfTrue="1" operator="equal">
      <formula>"2013-14 Guaranteed Funding Level"</formula>
    </cfRule>
  </conditionalFormatting>
  <conditionalFormatting sqref="B33">
    <cfRule type="cellIs" dxfId="19" priority="4" stopIfTrue="1" operator="equal">
      <formula>"2013-14 Minimum Funding Guarantee"</formula>
    </cfRule>
  </conditionalFormatting>
  <conditionalFormatting sqref="B34">
    <cfRule type="cellIs" dxfId="18" priority="3" stopIfTrue="1" operator="equal">
      <formula>"2013-14 Minimum Funding Guarantee"</formula>
    </cfRule>
  </conditionalFormatting>
  <conditionalFormatting sqref="G36">
    <cfRule type="expression" dxfId="17" priority="1">
      <formula>$G$36="(please enter)"</formula>
    </cfRule>
  </conditionalFormatting>
  <pageMargins left="0.59055118110236227" right="0.59055118110236227" top="0.59055118110236227" bottom="0.59055118110236227" header="0.19685039370078741" footer="0.19685039370078741"/>
  <pageSetup paperSize="9" scale="90" orientation="portrait" blackAndWhite="1" r:id="rId1"/>
  <headerFooter alignWithMargins="0">
    <oddHeader>&amp;R&amp;F</oddHeader>
    <oddFooter xml:space="preserve">&amp;LFormat prepared by the Schools Finance Team&amp;RPrinted on &amp;D
at &amp;T </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41"/>
    <pageSetUpPr fitToPage="1"/>
  </sheetPr>
  <dimension ref="A1:AH447"/>
  <sheetViews>
    <sheetView zoomScaleNormal="100" zoomScaleSheetLayoutView="100" workbookViewId="0">
      <pane ySplit="11" topLeftCell="A86" activePane="bottomLeft" state="frozen"/>
      <selection pane="bottomLeft" activeCell="L111" sqref="L111"/>
    </sheetView>
  </sheetViews>
  <sheetFormatPr defaultColWidth="9.140625" defaultRowHeight="12.75" x14ac:dyDescent="0.2"/>
  <cols>
    <col min="1" max="1" width="2.7109375" style="494" customWidth="1"/>
    <col min="2" max="2" width="4.42578125" style="494" customWidth="1"/>
    <col min="3" max="6" width="9.140625" style="494"/>
    <col min="7" max="7" width="11.140625" style="494" customWidth="1"/>
    <col min="8" max="8" width="19.7109375" style="494" customWidth="1"/>
    <col min="9" max="9" width="9.140625" style="494"/>
    <col min="10" max="10" width="4" style="494" customWidth="1"/>
    <col min="11" max="11" width="12.28515625" style="494" customWidth="1"/>
    <col min="12" max="12" width="6.42578125" style="494" customWidth="1"/>
    <col min="13" max="13" width="13.42578125" style="494" customWidth="1"/>
    <col min="14" max="14" width="5.5703125" style="494" customWidth="1"/>
    <col min="15" max="15" width="2.7109375" style="494" customWidth="1"/>
    <col min="16" max="16" width="12" style="389" hidden="1" customWidth="1"/>
    <col min="17" max="17" width="15.7109375" style="389" hidden="1" customWidth="1"/>
    <col min="18" max="18" width="27" style="494" customWidth="1"/>
    <col min="19" max="16384" width="9.140625" style="494"/>
  </cols>
  <sheetData>
    <row r="1" spans="1:34" ht="23.25" customHeight="1" x14ac:dyDescent="0.2">
      <c r="A1" s="1233" t="str">
        <f>Summary!A1</f>
        <v>Matching Green CE P</v>
      </c>
      <c r="B1" s="1234"/>
      <c r="C1" s="1234"/>
      <c r="D1" s="1234"/>
      <c r="E1" s="1234"/>
      <c r="F1" s="1234"/>
      <c r="G1" s="1234"/>
      <c r="H1" s="1234"/>
      <c r="I1" s="1234"/>
      <c r="J1" s="1234"/>
      <c r="K1" s="1234"/>
      <c r="L1" s="1234"/>
      <c r="M1" s="1234"/>
      <c r="N1" s="1234"/>
      <c r="O1" s="1235"/>
      <c r="R1" s="355"/>
      <c r="S1" s="355"/>
      <c r="T1" s="355"/>
      <c r="U1" s="355"/>
      <c r="V1" s="355"/>
      <c r="W1" s="355"/>
      <c r="X1" s="355"/>
      <c r="Y1" s="355"/>
      <c r="Z1" s="355"/>
      <c r="AA1" s="355"/>
      <c r="AB1" s="355"/>
      <c r="AC1" s="355"/>
      <c r="AD1" s="355"/>
      <c r="AE1" s="355"/>
      <c r="AF1" s="355"/>
      <c r="AG1" s="355"/>
      <c r="AH1" s="355"/>
    </row>
    <row r="2" spans="1:34" ht="8.25" customHeight="1" x14ac:dyDescent="0.2">
      <c r="A2" s="355"/>
      <c r="B2" s="355"/>
      <c r="C2" s="355"/>
      <c r="D2" s="355"/>
      <c r="E2" s="355"/>
      <c r="F2" s="355"/>
      <c r="G2" s="355"/>
      <c r="H2" s="355"/>
      <c r="I2" s="355"/>
      <c r="J2" s="355"/>
      <c r="K2" s="355"/>
      <c r="L2" s="355"/>
      <c r="M2" s="355"/>
      <c r="N2" s="355"/>
      <c r="O2" s="355"/>
      <c r="R2" s="355"/>
      <c r="S2" s="355"/>
      <c r="T2" s="355"/>
      <c r="U2" s="355"/>
      <c r="V2" s="355"/>
      <c r="W2" s="355"/>
      <c r="X2" s="355"/>
      <c r="Y2" s="355"/>
      <c r="Z2" s="355"/>
      <c r="AA2" s="355"/>
      <c r="AB2" s="355"/>
      <c r="AC2" s="355"/>
      <c r="AD2" s="355"/>
      <c r="AE2" s="355"/>
      <c r="AF2" s="355"/>
      <c r="AG2" s="355"/>
      <c r="AH2" s="355"/>
    </row>
    <row r="3" spans="1:34" ht="18" x14ac:dyDescent="0.25">
      <c r="A3" s="355"/>
      <c r="B3" s="355"/>
      <c r="C3" s="495" t="s">
        <v>57</v>
      </c>
      <c r="D3" s="355"/>
      <c r="E3" s="355"/>
      <c r="F3" s="355"/>
      <c r="G3" s="355"/>
      <c r="H3" s="355"/>
      <c r="I3" s="355"/>
      <c r="J3" s="355"/>
      <c r="K3" s="355"/>
      <c r="L3" s="355"/>
      <c r="M3" s="355"/>
      <c r="N3" s="355"/>
      <c r="O3" s="355"/>
      <c r="R3" s="355"/>
      <c r="S3" s="355"/>
      <c r="T3" s="355"/>
      <c r="U3" s="355"/>
      <c r="V3" s="355"/>
      <c r="W3" s="355"/>
      <c r="X3" s="355"/>
      <c r="Y3" s="355"/>
      <c r="Z3" s="355"/>
      <c r="AA3" s="355"/>
      <c r="AB3" s="355"/>
      <c r="AC3" s="355"/>
      <c r="AD3" s="355"/>
      <c r="AE3" s="355"/>
      <c r="AF3" s="355"/>
      <c r="AG3" s="355"/>
      <c r="AH3" s="355"/>
    </row>
    <row r="4" spans="1:34" ht="6.75" customHeight="1" x14ac:dyDescent="0.25">
      <c r="A4" s="355"/>
      <c r="B4" s="355"/>
      <c r="C4" s="495"/>
      <c r="D4" s="355"/>
      <c r="E4" s="355"/>
      <c r="F4" s="355"/>
      <c r="G4" s="355"/>
      <c r="H4" s="355"/>
      <c r="I4" s="355"/>
      <c r="J4" s="355"/>
      <c r="K4" s="355"/>
      <c r="L4" s="355"/>
      <c r="M4" s="355"/>
      <c r="N4" s="355"/>
      <c r="O4" s="355"/>
      <c r="R4" s="355"/>
      <c r="S4" s="355"/>
      <c r="T4" s="355"/>
      <c r="U4" s="355"/>
      <c r="V4" s="355"/>
      <c r="W4" s="355"/>
      <c r="X4" s="355"/>
      <c r="Y4" s="355"/>
      <c r="Z4" s="355"/>
      <c r="AA4" s="355"/>
      <c r="AB4" s="355"/>
      <c r="AC4" s="355"/>
      <c r="AD4" s="355"/>
      <c r="AE4" s="355"/>
      <c r="AF4" s="355"/>
      <c r="AG4" s="355"/>
      <c r="AH4" s="355"/>
    </row>
    <row r="5" spans="1:34" ht="27.75" customHeight="1" x14ac:dyDescent="0.2">
      <c r="A5" s="355"/>
      <c r="B5" s="355"/>
      <c r="C5" s="1237" t="s">
        <v>58</v>
      </c>
      <c r="D5" s="1237"/>
      <c r="E5" s="1237"/>
      <c r="F5" s="1237"/>
      <c r="G5" s="1237"/>
      <c r="H5" s="1237"/>
      <c r="I5" s="1237"/>
      <c r="J5" s="1237"/>
      <c r="K5" s="1237"/>
      <c r="L5" s="1237"/>
      <c r="M5" s="1237"/>
      <c r="N5" s="1237"/>
      <c r="O5" s="496"/>
      <c r="R5" s="355"/>
      <c r="S5" s="355"/>
      <c r="T5" s="355"/>
      <c r="U5" s="355"/>
      <c r="V5" s="355"/>
      <c r="W5" s="355"/>
      <c r="X5" s="355"/>
      <c r="Y5" s="355"/>
      <c r="Z5" s="355"/>
      <c r="AA5" s="355"/>
      <c r="AB5" s="355"/>
      <c r="AC5" s="355"/>
      <c r="AD5" s="355"/>
      <c r="AE5" s="355"/>
      <c r="AF5" s="355"/>
      <c r="AG5" s="355"/>
      <c r="AH5" s="355"/>
    </row>
    <row r="6" spans="1:34" ht="6" customHeight="1" x14ac:dyDescent="0.25">
      <c r="A6" s="355"/>
      <c r="B6" s="355"/>
      <c r="C6" s="495"/>
      <c r="D6" s="355"/>
      <c r="E6" s="355"/>
      <c r="F6" s="355"/>
      <c r="G6" s="355"/>
      <c r="H6" s="355"/>
      <c r="I6" s="355"/>
      <c r="J6" s="355"/>
      <c r="K6" s="355"/>
      <c r="L6" s="355"/>
      <c r="M6" s="355"/>
      <c r="N6" s="355"/>
      <c r="O6" s="355"/>
      <c r="R6" s="355"/>
      <c r="S6" s="355"/>
      <c r="T6" s="355"/>
      <c r="U6" s="355"/>
      <c r="V6" s="355"/>
      <c r="W6" s="355"/>
      <c r="X6" s="355"/>
      <c r="Y6" s="355"/>
      <c r="Z6" s="355"/>
      <c r="AA6" s="355"/>
      <c r="AB6" s="355"/>
      <c r="AC6" s="355"/>
      <c r="AD6" s="355"/>
      <c r="AE6" s="355"/>
      <c r="AF6" s="355"/>
      <c r="AG6" s="355"/>
      <c r="AH6" s="355"/>
    </row>
    <row r="7" spans="1:34" ht="12.75" customHeight="1" x14ac:dyDescent="0.25">
      <c r="A7" s="355"/>
      <c r="B7" s="355"/>
      <c r="C7" s="495"/>
      <c r="D7" s="355" t="s">
        <v>59</v>
      </c>
      <c r="E7" s="355"/>
      <c r="F7" s="355"/>
      <c r="G7" s="355"/>
      <c r="H7" s="1236" t="str">
        <f>IF('Schools Block'!J1="SP","Special schools are not eligible for Key Stage 1 Class Size or Significant Pupil Increase Funding",IF('Schools Block'!J1="N","These funding streams do not apply to Nursery Schools",""))</f>
        <v/>
      </c>
      <c r="I7" s="1236"/>
      <c r="J7" s="1236"/>
      <c r="K7" s="1236"/>
      <c r="L7" s="1236"/>
      <c r="M7" s="1236"/>
      <c r="N7" s="1236"/>
      <c r="O7" s="355"/>
      <c r="R7" s="355"/>
      <c r="S7" s="355"/>
      <c r="T7" s="355"/>
      <c r="U7" s="355"/>
      <c r="V7" s="355"/>
      <c r="W7" s="355"/>
      <c r="X7" s="355"/>
      <c r="Y7" s="355"/>
      <c r="Z7" s="355"/>
      <c r="AA7" s="355"/>
      <c r="AB7" s="355"/>
      <c r="AC7" s="355"/>
      <c r="AD7" s="355"/>
      <c r="AE7" s="355"/>
      <c r="AF7" s="355"/>
      <c r="AG7" s="355"/>
      <c r="AH7" s="355"/>
    </row>
    <row r="8" spans="1:34" ht="12.75" customHeight="1" x14ac:dyDescent="0.2">
      <c r="A8" s="355"/>
      <c r="B8" s="355"/>
      <c r="C8" s="355"/>
      <c r="D8" s="555" t="s">
        <v>922</v>
      </c>
      <c r="E8" s="355"/>
      <c r="F8" s="355"/>
      <c r="G8" s="355"/>
      <c r="H8" s="1236"/>
      <c r="I8" s="1236"/>
      <c r="J8" s="1236"/>
      <c r="K8" s="1236"/>
      <c r="L8" s="1236"/>
      <c r="M8" s="1236"/>
      <c r="N8" s="1236"/>
      <c r="O8" s="355"/>
      <c r="R8" s="355"/>
      <c r="S8" s="355"/>
      <c r="T8" s="355"/>
      <c r="U8" s="355"/>
      <c r="V8" s="355"/>
      <c r="W8" s="355"/>
      <c r="X8" s="355"/>
      <c r="Y8" s="355"/>
      <c r="Z8" s="355"/>
      <c r="AA8" s="355"/>
      <c r="AB8" s="355"/>
      <c r="AC8" s="355"/>
      <c r="AD8" s="355"/>
      <c r="AE8" s="355"/>
      <c r="AF8" s="355"/>
      <c r="AG8" s="355"/>
      <c r="AH8" s="355"/>
    </row>
    <row r="9" spans="1:34" ht="12.75" customHeight="1" x14ac:dyDescent="0.2">
      <c r="A9" s="355"/>
      <c r="B9" s="355"/>
      <c r="C9" s="355"/>
      <c r="D9" s="555" t="s">
        <v>923</v>
      </c>
      <c r="E9" s="355"/>
      <c r="F9" s="355"/>
      <c r="G9" s="355"/>
      <c r="H9" s="1236"/>
      <c r="I9" s="1236"/>
      <c r="J9" s="1236"/>
      <c r="K9" s="1236"/>
      <c r="L9" s="1236"/>
      <c r="M9" s="1236"/>
      <c r="N9" s="1236"/>
      <c r="O9" s="355"/>
      <c r="R9" s="355"/>
      <c r="S9" s="355"/>
      <c r="T9" s="355"/>
      <c r="U9" s="355"/>
      <c r="V9" s="355"/>
      <c r="W9" s="355"/>
      <c r="X9" s="355"/>
      <c r="Y9" s="355"/>
      <c r="Z9" s="355"/>
      <c r="AA9" s="355"/>
      <c r="AB9" s="355"/>
      <c r="AC9" s="355"/>
      <c r="AD9" s="355"/>
      <c r="AE9" s="355"/>
      <c r="AF9" s="355"/>
      <c r="AG9" s="355"/>
      <c r="AH9" s="355"/>
    </row>
    <row r="10" spans="1:34" ht="12.75" customHeight="1" x14ac:dyDescent="0.2">
      <c r="A10" s="355"/>
      <c r="B10" s="355"/>
      <c r="C10" s="355"/>
      <c r="D10" s="555" t="s">
        <v>924</v>
      </c>
      <c r="E10" s="355"/>
      <c r="F10" s="355"/>
      <c r="G10" s="355"/>
      <c r="H10" s="1236"/>
      <c r="I10" s="1236"/>
      <c r="J10" s="1236"/>
      <c r="K10" s="1236"/>
      <c r="L10" s="1236"/>
      <c r="M10" s="1236"/>
      <c r="N10" s="1236"/>
      <c r="O10" s="355"/>
      <c r="R10" s="355"/>
      <c r="S10" s="355"/>
      <c r="T10" s="355"/>
      <c r="U10" s="355"/>
      <c r="V10" s="355"/>
      <c r="W10" s="355"/>
      <c r="X10" s="355"/>
      <c r="Y10" s="355"/>
      <c r="Z10" s="355"/>
      <c r="AA10" s="355"/>
      <c r="AB10" s="355"/>
      <c r="AC10" s="355"/>
      <c r="AD10" s="355"/>
      <c r="AE10" s="355"/>
      <c r="AF10" s="355"/>
      <c r="AG10" s="355"/>
      <c r="AH10" s="355"/>
    </row>
    <row r="11" spans="1:34" ht="4.5" customHeight="1" x14ac:dyDescent="0.2">
      <c r="A11" s="355"/>
      <c r="B11" s="355"/>
      <c r="C11" s="355"/>
      <c r="D11" s="355"/>
      <c r="E11" s="355"/>
      <c r="F11" s="355"/>
      <c r="G11" s="355"/>
      <c r="H11" s="497"/>
      <c r="I11" s="497"/>
      <c r="J11" s="497"/>
      <c r="K11" s="497"/>
      <c r="L11" s="497"/>
      <c r="M11" s="497"/>
      <c r="N11" s="355"/>
      <c r="O11" s="355"/>
      <c r="R11" s="355"/>
      <c r="S11" s="355"/>
      <c r="T11" s="355"/>
      <c r="U11" s="355"/>
      <c r="V11" s="355"/>
      <c r="W11" s="355"/>
      <c r="X11" s="355"/>
      <c r="Y11" s="355"/>
      <c r="Z11" s="355"/>
      <c r="AA11" s="355"/>
      <c r="AB11" s="355"/>
      <c r="AC11" s="355"/>
      <c r="AD11" s="355"/>
      <c r="AE11" s="355"/>
      <c r="AF11" s="355"/>
      <c r="AG11" s="355"/>
      <c r="AH11" s="355"/>
    </row>
    <row r="12" spans="1:34" ht="5.25" customHeight="1" x14ac:dyDescent="0.2">
      <c r="A12" s="355"/>
      <c r="B12" s="355"/>
      <c r="C12" s="355"/>
      <c r="D12" s="355"/>
      <c r="E12" s="355"/>
      <c r="F12" s="355"/>
      <c r="G12" s="355"/>
      <c r="H12" s="497"/>
      <c r="I12" s="497"/>
      <c r="J12" s="497"/>
      <c r="K12" s="497"/>
      <c r="L12" s="497"/>
      <c r="M12" s="497"/>
      <c r="N12" s="355"/>
      <c r="O12" s="355"/>
      <c r="R12" s="355"/>
      <c r="S12" s="355"/>
      <c r="T12" s="355"/>
      <c r="U12" s="355"/>
      <c r="V12" s="355"/>
      <c r="W12" s="355"/>
      <c r="X12" s="355"/>
      <c r="Y12" s="355"/>
      <c r="Z12" s="355"/>
      <c r="AA12" s="355"/>
      <c r="AB12" s="355"/>
      <c r="AC12" s="355"/>
      <c r="AD12" s="355"/>
      <c r="AE12" s="355"/>
      <c r="AF12" s="355"/>
      <c r="AG12" s="355"/>
      <c r="AH12" s="355"/>
    </row>
    <row r="13" spans="1:34" ht="12" customHeight="1" x14ac:dyDescent="0.2">
      <c r="A13" s="355"/>
      <c r="B13" s="498"/>
      <c r="C13" s="489"/>
      <c r="D13" s="489"/>
      <c r="E13" s="489"/>
      <c r="F13" s="489"/>
      <c r="G13" s="489"/>
      <c r="H13" s="489"/>
      <c r="I13" s="489"/>
      <c r="J13" s="489"/>
      <c r="K13" s="489"/>
      <c r="L13" s="489"/>
      <c r="M13" s="489"/>
      <c r="N13" s="499"/>
      <c r="O13" s="355"/>
      <c r="R13" s="355"/>
      <c r="S13" s="355"/>
      <c r="T13" s="355"/>
      <c r="U13" s="355"/>
      <c r="V13" s="355"/>
      <c r="W13" s="355"/>
      <c r="X13" s="355"/>
      <c r="Y13" s="355"/>
      <c r="Z13" s="355"/>
      <c r="AA13" s="355"/>
      <c r="AB13" s="355"/>
      <c r="AC13" s="355"/>
      <c r="AD13" s="355"/>
      <c r="AE13" s="355"/>
      <c r="AF13" s="355"/>
      <c r="AG13" s="355"/>
      <c r="AH13" s="355"/>
    </row>
    <row r="14" spans="1:34" ht="18" x14ac:dyDescent="0.2">
      <c r="A14" s="355"/>
      <c r="B14" s="500"/>
      <c r="C14" s="1232" t="s">
        <v>376</v>
      </c>
      <c r="D14" s="1232"/>
      <c r="E14" s="1232"/>
      <c r="F14" s="1232"/>
      <c r="G14" s="1232"/>
      <c r="H14" s="1232"/>
      <c r="I14" s="387"/>
      <c r="J14" s="387"/>
      <c r="K14" s="387"/>
      <c r="L14" s="387"/>
      <c r="M14" s="387"/>
      <c r="N14" s="501"/>
      <c r="O14" s="355"/>
      <c r="R14" s="355"/>
      <c r="S14" s="355"/>
      <c r="T14" s="355"/>
      <c r="U14" s="355"/>
      <c r="V14" s="355"/>
      <c r="W14" s="355"/>
      <c r="X14" s="355"/>
      <c r="Y14" s="355"/>
      <c r="Z14" s="355"/>
      <c r="AA14" s="355"/>
      <c r="AB14" s="355"/>
      <c r="AC14" s="355"/>
      <c r="AD14" s="355"/>
      <c r="AE14" s="355"/>
      <c r="AF14" s="355"/>
      <c r="AG14" s="355"/>
      <c r="AH14" s="355"/>
    </row>
    <row r="15" spans="1:34" ht="29.25" customHeight="1" x14ac:dyDescent="0.2">
      <c r="A15" s="355"/>
      <c r="B15" s="500"/>
      <c r="C15" s="1186" t="str">
        <f>"NB: It is assumed that funding will continue at "&amp;'Fin.Yr Lookups'!A16&amp;" levels, but the default funding per pupil figures below can be overtyped with the actual "&amp;'Fin.Yr Lookups'!A5&amp;" amounts once these have been announced by the DfE."</f>
        <v>NB: It is assumed that funding will continue at 2019-20 levels, but the default funding per pupil figures below can be overtyped with the actual 2020-21 amounts once these have been announced by the DfE.</v>
      </c>
      <c r="D15" s="1186"/>
      <c r="E15" s="1186"/>
      <c r="F15" s="1186"/>
      <c r="G15" s="1186"/>
      <c r="H15" s="1186"/>
      <c r="I15" s="1186"/>
      <c r="J15" s="1186"/>
      <c r="K15" s="1186"/>
      <c r="L15" s="1186"/>
      <c r="M15" s="1186"/>
      <c r="N15" s="501"/>
      <c r="O15" s="355"/>
      <c r="R15" s="355"/>
      <c r="S15" s="355"/>
      <c r="T15" s="355"/>
      <c r="U15" s="355"/>
      <c r="V15" s="355"/>
      <c r="W15" s="355"/>
      <c r="X15" s="355"/>
      <c r="Y15" s="355"/>
      <c r="Z15" s="355"/>
      <c r="AA15" s="355"/>
      <c r="AB15" s="355"/>
      <c r="AC15" s="355"/>
      <c r="AD15" s="355"/>
      <c r="AE15" s="355"/>
      <c r="AF15" s="355"/>
      <c r="AG15" s="355"/>
      <c r="AH15" s="355"/>
    </row>
    <row r="16" spans="1:34" s="505" customFormat="1" ht="34.5" customHeight="1" x14ac:dyDescent="0.2">
      <c r="A16" s="502"/>
      <c r="B16" s="503"/>
      <c r="C16" s="1186" t="s">
        <v>407</v>
      </c>
      <c r="D16" s="1186"/>
      <c r="E16" s="1186"/>
      <c r="F16" s="1186"/>
      <c r="G16" s="1186"/>
      <c r="H16" s="1186"/>
      <c r="I16" s="1186"/>
      <c r="J16" s="1186"/>
      <c r="K16" s="1186"/>
      <c r="L16" s="1186"/>
      <c r="M16" s="1186"/>
      <c r="N16" s="1238"/>
      <c r="O16" s="502"/>
      <c r="P16" s="504"/>
      <c r="Q16" s="504"/>
      <c r="R16" s="502"/>
      <c r="S16" s="502"/>
      <c r="T16" s="502"/>
      <c r="U16" s="502"/>
      <c r="V16" s="502"/>
      <c r="W16" s="502"/>
      <c r="X16" s="502"/>
      <c r="Y16" s="502"/>
      <c r="Z16" s="502"/>
      <c r="AA16" s="502"/>
      <c r="AB16" s="502"/>
      <c r="AC16" s="502"/>
      <c r="AD16" s="502"/>
      <c r="AE16" s="502"/>
      <c r="AF16" s="502"/>
      <c r="AG16" s="502"/>
      <c r="AH16" s="502"/>
    </row>
    <row r="17" spans="1:34" s="512" customFormat="1" ht="25.5" customHeight="1" x14ac:dyDescent="0.2">
      <c r="A17" s="506"/>
      <c r="B17" s="507"/>
      <c r="C17" s="508"/>
      <c r="D17" s="508"/>
      <c r="E17" s="508"/>
      <c r="F17" s="508"/>
      <c r="G17" s="508"/>
      <c r="H17" s="508"/>
      <c r="I17" s="509" t="s">
        <v>704</v>
      </c>
      <c r="J17" s="508"/>
      <c r="K17" s="509" t="s">
        <v>703</v>
      </c>
      <c r="L17" s="508"/>
      <c r="M17" s="509" t="s">
        <v>705</v>
      </c>
      <c r="N17" s="510"/>
      <c r="O17" s="506"/>
      <c r="P17" s="511"/>
      <c r="Q17" s="511"/>
      <c r="R17" s="506"/>
      <c r="S17" s="506"/>
      <c r="T17" s="506"/>
      <c r="U17" s="506"/>
      <c r="V17" s="506"/>
      <c r="W17" s="506"/>
      <c r="X17" s="506"/>
      <c r="Y17" s="506"/>
      <c r="Z17" s="506"/>
      <c r="AA17" s="506"/>
      <c r="AB17" s="506"/>
      <c r="AC17" s="506"/>
      <c r="AD17" s="506"/>
      <c r="AE17" s="506"/>
      <c r="AF17" s="506"/>
      <c r="AG17" s="506"/>
      <c r="AH17" s="506"/>
    </row>
    <row r="18" spans="1:34" ht="27" customHeight="1" x14ac:dyDescent="0.2">
      <c r="A18" s="355"/>
      <c r="B18" s="500"/>
      <c r="C18" s="1239" t="str">
        <f>"Number of pupils currrently on roll who have had a free school meal entitlement (FSME) at any point between the Summer "&amp;'Fin.Yr Lookups'!A25&amp;" &amp; January "&amp;'Fin.Yr Lookups'!A26&amp;" census counts.
NB: Exclude any Adopted or Looked After Children"</f>
        <v>Number of pupils currrently on roll who have had a free school meal entitlement (FSME) at any point between the Summer 2014 &amp; January 2020 census counts.
NB: Exclude any Adopted or Looked After Children</v>
      </c>
      <c r="D18" s="1239"/>
      <c r="E18" s="1239"/>
      <c r="F18" s="1239"/>
      <c r="G18" s="1239"/>
      <c r="H18" s="628" t="s">
        <v>851</v>
      </c>
      <c r="I18" s="386">
        <v>8</v>
      </c>
      <c r="J18" s="479" t="s">
        <v>706</v>
      </c>
      <c r="K18" s="636">
        <v>1345</v>
      </c>
      <c r="L18" s="479" t="s">
        <v>707</v>
      </c>
      <c r="M18" s="358">
        <f>I18*K18</f>
        <v>10760</v>
      </c>
      <c r="N18" s="501"/>
      <c r="O18" s="355"/>
      <c r="R18" s="355"/>
      <c r="S18" s="355"/>
      <c r="T18" s="355"/>
      <c r="U18" s="355"/>
      <c r="V18" s="355"/>
      <c r="W18" s="355"/>
      <c r="X18" s="355"/>
      <c r="Y18" s="355"/>
      <c r="Z18" s="355"/>
      <c r="AA18" s="355"/>
      <c r="AB18" s="355"/>
      <c r="AC18" s="355"/>
      <c r="AD18" s="355"/>
      <c r="AE18" s="355"/>
      <c r="AF18" s="355"/>
      <c r="AG18" s="355"/>
      <c r="AH18" s="355"/>
    </row>
    <row r="19" spans="1:34" ht="27" customHeight="1" x14ac:dyDescent="0.2">
      <c r="A19" s="355"/>
      <c r="B19" s="500"/>
      <c r="C19" s="1239"/>
      <c r="D19" s="1239"/>
      <c r="E19" s="1239"/>
      <c r="F19" s="1239"/>
      <c r="G19" s="1239"/>
      <c r="H19" s="628" t="s">
        <v>850</v>
      </c>
      <c r="I19" s="386"/>
      <c r="J19" s="479" t="s">
        <v>706</v>
      </c>
      <c r="K19" s="636">
        <v>935</v>
      </c>
      <c r="L19" s="479" t="s">
        <v>707</v>
      </c>
      <c r="M19" s="627">
        <f>I19*K19</f>
        <v>0</v>
      </c>
      <c r="N19" s="501"/>
      <c r="O19" s="355"/>
      <c r="R19" s="355"/>
      <c r="S19" s="355"/>
      <c r="T19" s="355"/>
      <c r="U19" s="355"/>
      <c r="V19" s="355"/>
      <c r="W19" s="355"/>
      <c r="X19" s="355"/>
      <c r="Y19" s="355"/>
      <c r="Z19" s="355"/>
      <c r="AA19" s="355"/>
      <c r="AB19" s="355"/>
      <c r="AC19" s="355"/>
      <c r="AD19" s="355"/>
      <c r="AE19" s="355"/>
      <c r="AF19" s="355"/>
      <c r="AG19" s="355"/>
      <c r="AH19" s="355"/>
    </row>
    <row r="20" spans="1:34" ht="12.75" customHeight="1" x14ac:dyDescent="0.2">
      <c r="A20" s="355"/>
      <c r="B20" s="500"/>
      <c r="C20" s="486"/>
      <c r="D20" s="486"/>
      <c r="E20" s="486"/>
      <c r="F20" s="486"/>
      <c r="G20" s="486"/>
      <c r="H20" s="486"/>
      <c r="I20" s="479"/>
      <c r="J20" s="479"/>
      <c r="K20" s="637"/>
      <c r="L20" s="479"/>
      <c r="M20" s="479"/>
      <c r="N20" s="501"/>
      <c r="O20" s="355"/>
      <c r="R20" s="355"/>
      <c r="S20" s="355"/>
      <c r="T20" s="355"/>
      <c r="U20" s="355"/>
      <c r="V20" s="355"/>
      <c r="W20" s="355"/>
      <c r="X20" s="355"/>
      <c r="Y20" s="355"/>
      <c r="Z20" s="355"/>
      <c r="AA20" s="355"/>
      <c r="AB20" s="355"/>
      <c r="AC20" s="355"/>
      <c r="AD20" s="355"/>
      <c r="AE20" s="355"/>
      <c r="AF20" s="355"/>
      <c r="AG20" s="355"/>
      <c r="AH20" s="355"/>
    </row>
    <row r="21" spans="1:34" ht="25.5" customHeight="1" x14ac:dyDescent="0.2">
      <c r="A21" s="355"/>
      <c r="B21" s="500"/>
      <c r="C21" s="1186" t="str">
        <f>"Number of Service Children on roll on the January "&amp;'Fin.Yr Lookups'!A3&amp;" census"</f>
        <v>Number of Service Children on roll on the January 2020 census</v>
      </c>
      <c r="D21" s="1231"/>
      <c r="E21" s="1231"/>
      <c r="F21" s="1231"/>
      <c r="G21" s="1231"/>
      <c r="H21" s="1231"/>
      <c r="I21" s="386"/>
      <c r="J21" s="479" t="s">
        <v>706</v>
      </c>
      <c r="K21" s="636">
        <v>300</v>
      </c>
      <c r="L21" s="479" t="s">
        <v>707</v>
      </c>
      <c r="M21" s="358">
        <f>I21*K21</f>
        <v>0</v>
      </c>
      <c r="N21" s="501"/>
      <c r="O21" s="355"/>
      <c r="R21" s="355"/>
      <c r="S21" s="355"/>
      <c r="T21" s="355"/>
      <c r="U21" s="355"/>
      <c r="V21" s="355"/>
      <c r="W21" s="355"/>
      <c r="X21" s="355"/>
      <c r="Y21" s="355"/>
      <c r="Z21" s="355"/>
      <c r="AA21" s="355"/>
      <c r="AB21" s="355"/>
      <c r="AC21" s="355"/>
      <c r="AD21" s="355"/>
      <c r="AE21" s="355"/>
      <c r="AF21" s="355"/>
      <c r="AG21" s="355"/>
      <c r="AH21" s="355"/>
    </row>
    <row r="22" spans="1:34" x14ac:dyDescent="0.2">
      <c r="A22" s="355"/>
      <c r="B22" s="500"/>
      <c r="C22" s="486"/>
      <c r="D22" s="486"/>
      <c r="E22" s="486"/>
      <c r="F22" s="486"/>
      <c r="G22" s="486"/>
      <c r="H22" s="486"/>
      <c r="I22" s="387"/>
      <c r="J22" s="387"/>
      <c r="K22" s="566"/>
      <c r="L22" s="387"/>
      <c r="M22" s="387"/>
      <c r="N22" s="501"/>
      <c r="O22" s="355"/>
      <c r="R22" s="355"/>
      <c r="S22" s="355"/>
      <c r="T22" s="355"/>
      <c r="U22" s="355"/>
      <c r="V22" s="355"/>
      <c r="W22" s="355"/>
      <c r="X22" s="355"/>
      <c r="Y22" s="355"/>
      <c r="Z22" s="355"/>
      <c r="AA22" s="355"/>
      <c r="AB22" s="355"/>
      <c r="AC22" s="355"/>
      <c r="AD22" s="355"/>
      <c r="AE22" s="355"/>
      <c r="AF22" s="355"/>
      <c r="AG22" s="355"/>
      <c r="AH22" s="355"/>
    </row>
    <row r="23" spans="1:34" ht="36.75" customHeight="1" x14ac:dyDescent="0.2">
      <c r="A23" s="355"/>
      <c r="B23" s="500"/>
      <c r="C23" s="1186" t="str">
        <f>"Number of Post LAC Children on roll on the January "&amp;'Fin.Yr Lookups'!A3&amp;" census
(Children recorded as adopted from care / Residence Order / Special Guardianship Order)"</f>
        <v>Number of Post LAC Children on roll on the January 2020 census
(Children recorded as adopted from care / Residence Order / Special Guardianship Order)</v>
      </c>
      <c r="D23" s="1231"/>
      <c r="E23" s="1231"/>
      <c r="F23" s="1231"/>
      <c r="G23" s="1231"/>
      <c r="H23" s="1192"/>
      <c r="I23" s="386"/>
      <c r="J23" s="479" t="s">
        <v>706</v>
      </c>
      <c r="K23" s="636">
        <v>2300</v>
      </c>
      <c r="L23" s="479" t="s">
        <v>707</v>
      </c>
      <c r="M23" s="358">
        <f>I23*K23</f>
        <v>0</v>
      </c>
      <c r="N23" s="501"/>
      <c r="O23" s="355"/>
      <c r="R23" s="355"/>
      <c r="S23" s="355"/>
      <c r="T23" s="355"/>
      <c r="U23" s="355"/>
      <c r="V23" s="355"/>
      <c r="W23" s="355"/>
      <c r="X23" s="355"/>
      <c r="Y23" s="355"/>
      <c r="Z23" s="355"/>
      <c r="AA23" s="355"/>
      <c r="AB23" s="355"/>
      <c r="AC23" s="355"/>
      <c r="AD23" s="355"/>
      <c r="AE23" s="355"/>
      <c r="AF23" s="355"/>
      <c r="AG23" s="355"/>
      <c r="AH23" s="355"/>
    </row>
    <row r="24" spans="1:34" x14ac:dyDescent="0.2">
      <c r="A24" s="355"/>
      <c r="B24" s="500"/>
      <c r="C24" s="486"/>
      <c r="D24" s="486"/>
      <c r="E24" s="486"/>
      <c r="F24" s="486"/>
      <c r="G24" s="486"/>
      <c r="H24" s="486"/>
      <c r="I24" s="387"/>
      <c r="J24" s="387"/>
      <c r="K24" s="566"/>
      <c r="L24" s="387"/>
      <c r="M24" s="387"/>
      <c r="N24" s="501"/>
      <c r="O24" s="355"/>
      <c r="R24" s="355"/>
      <c r="S24" s="355"/>
      <c r="T24" s="355"/>
      <c r="U24" s="355"/>
      <c r="V24" s="355"/>
      <c r="W24" s="355"/>
      <c r="X24" s="355"/>
      <c r="Y24" s="355"/>
      <c r="Z24" s="355"/>
      <c r="AA24" s="355"/>
      <c r="AB24" s="355"/>
      <c r="AC24" s="355"/>
      <c r="AD24" s="355"/>
      <c r="AE24" s="355"/>
      <c r="AF24" s="355"/>
      <c r="AG24" s="355"/>
      <c r="AH24" s="355"/>
    </row>
    <row r="25" spans="1:34" ht="25.5" customHeight="1" x14ac:dyDescent="0.2">
      <c r="A25" s="355"/>
      <c r="B25" s="500"/>
      <c r="C25" s="1186" t="str">
        <f>"Number of looked after children (LAC) expected on roll on the May "&amp;'Fin.Yr Lookups'!A3&amp;" census"</f>
        <v>Number of looked after children (LAC) expected on roll on the May 2020 census</v>
      </c>
      <c r="D25" s="1231"/>
      <c r="E25" s="1231"/>
      <c r="F25" s="1231"/>
      <c r="G25" s="1231"/>
      <c r="H25" s="1192"/>
      <c r="I25" s="386"/>
      <c r="J25" s="479" t="s">
        <v>706</v>
      </c>
      <c r="K25" s="636">
        <v>767</v>
      </c>
      <c r="L25" s="479" t="s">
        <v>707</v>
      </c>
      <c r="M25" s="358">
        <f>I25*K25</f>
        <v>0</v>
      </c>
      <c r="N25" s="501"/>
      <c r="O25" s="355"/>
      <c r="R25" s="355"/>
      <c r="S25" s="355"/>
      <c r="T25" s="355"/>
      <c r="U25" s="355"/>
      <c r="V25" s="355"/>
      <c r="W25" s="355"/>
      <c r="X25" s="355"/>
      <c r="Y25" s="355"/>
      <c r="Z25" s="355"/>
      <c r="AA25" s="355"/>
      <c r="AB25" s="355"/>
      <c r="AC25" s="355"/>
      <c r="AD25" s="355"/>
      <c r="AE25" s="355"/>
      <c r="AF25" s="355"/>
      <c r="AG25" s="355"/>
      <c r="AH25" s="355"/>
    </row>
    <row r="26" spans="1:34" x14ac:dyDescent="0.2">
      <c r="A26" s="355"/>
      <c r="B26" s="500"/>
      <c r="C26" s="486"/>
      <c r="D26" s="486"/>
      <c r="E26" s="486"/>
      <c r="F26" s="486"/>
      <c r="G26" s="486"/>
      <c r="H26" s="486"/>
      <c r="I26" s="387"/>
      <c r="J26" s="387"/>
      <c r="K26" s="566"/>
      <c r="L26" s="387"/>
      <c r="M26" s="387"/>
      <c r="N26" s="501"/>
      <c r="O26" s="355"/>
      <c r="R26" s="355"/>
      <c r="S26" s="355"/>
      <c r="T26" s="355"/>
      <c r="U26" s="355"/>
      <c r="V26" s="355"/>
      <c r="W26" s="355"/>
      <c r="X26" s="355"/>
      <c r="Y26" s="355"/>
      <c r="Z26" s="355"/>
      <c r="AA26" s="355"/>
      <c r="AB26" s="355"/>
      <c r="AC26" s="355"/>
      <c r="AD26" s="355"/>
      <c r="AE26" s="355"/>
      <c r="AF26" s="355"/>
      <c r="AG26" s="355"/>
      <c r="AH26" s="355"/>
    </row>
    <row r="27" spans="1:34" ht="26.25" customHeight="1" x14ac:dyDescent="0.2">
      <c r="A27" s="355"/>
      <c r="B27" s="500"/>
      <c r="C27" s="1205" t="str">
        <f>"Number of looked after children (LAC) expected on roll on the October "&amp;'Fin.Yr Lookups'!A3&amp;" census"</f>
        <v>Number of looked after children (LAC) expected on roll on the October 2020 census</v>
      </c>
      <c r="D27" s="1242"/>
      <c r="E27" s="1242"/>
      <c r="F27" s="1242"/>
      <c r="G27" s="1242"/>
      <c r="H27" s="1242"/>
      <c r="I27" s="386"/>
      <c r="J27" s="479" t="s">
        <v>706</v>
      </c>
      <c r="K27" s="636">
        <v>767</v>
      </c>
      <c r="L27" s="479" t="s">
        <v>707</v>
      </c>
      <c r="M27" s="358">
        <f>I27*K27</f>
        <v>0</v>
      </c>
      <c r="N27" s="501"/>
      <c r="O27" s="355"/>
      <c r="R27" s="355"/>
      <c r="S27" s="355"/>
      <c r="T27" s="355"/>
      <c r="U27" s="355"/>
      <c r="V27" s="355"/>
      <c r="W27" s="355"/>
      <c r="X27" s="355"/>
      <c r="Y27" s="355"/>
      <c r="Z27" s="355"/>
      <c r="AA27" s="355"/>
      <c r="AB27" s="355"/>
      <c r="AC27" s="355"/>
      <c r="AD27" s="355"/>
      <c r="AE27" s="355"/>
      <c r="AF27" s="355"/>
      <c r="AG27" s="355"/>
      <c r="AH27" s="355"/>
    </row>
    <row r="28" spans="1:34" x14ac:dyDescent="0.2">
      <c r="A28" s="355"/>
      <c r="B28" s="500"/>
      <c r="C28" s="486"/>
      <c r="D28" s="486"/>
      <c r="E28" s="486"/>
      <c r="F28" s="486"/>
      <c r="G28" s="486"/>
      <c r="H28" s="486"/>
      <c r="I28" s="387"/>
      <c r="J28" s="387"/>
      <c r="K28" s="566"/>
      <c r="L28" s="387"/>
      <c r="M28" s="387"/>
      <c r="N28" s="501"/>
      <c r="O28" s="355"/>
      <c r="R28" s="355"/>
      <c r="S28" s="355"/>
      <c r="T28" s="355"/>
      <c r="U28" s="355"/>
      <c r="V28" s="355"/>
      <c r="W28" s="355"/>
      <c r="X28" s="355"/>
      <c r="Y28" s="355"/>
      <c r="Z28" s="355"/>
      <c r="AA28" s="355"/>
      <c r="AB28" s="355"/>
      <c r="AC28" s="355"/>
      <c r="AD28" s="355"/>
      <c r="AE28" s="355"/>
      <c r="AF28" s="355"/>
      <c r="AG28" s="355"/>
      <c r="AH28" s="355"/>
    </row>
    <row r="29" spans="1:34" ht="25.5" customHeight="1" x14ac:dyDescent="0.2">
      <c r="A29" s="355"/>
      <c r="B29" s="500"/>
      <c r="C29" s="1205" t="str">
        <f>"Number of looked after children (LAC) expected on roll on the January "&amp;'Fin.Yr Lookups'!A4&amp;" census"</f>
        <v>Number of looked after children (LAC) expected on roll on the January 2021 census</v>
      </c>
      <c r="D29" s="1242"/>
      <c r="E29" s="1242"/>
      <c r="F29" s="1242"/>
      <c r="G29" s="1242"/>
      <c r="H29" s="1242"/>
      <c r="I29" s="386"/>
      <c r="J29" s="479" t="s">
        <v>706</v>
      </c>
      <c r="K29" s="636">
        <v>767</v>
      </c>
      <c r="L29" s="479" t="s">
        <v>707</v>
      </c>
      <c r="M29" s="358">
        <f>I29*K29</f>
        <v>0</v>
      </c>
      <c r="N29" s="501"/>
      <c r="O29" s="355"/>
      <c r="R29" s="355"/>
      <c r="S29" s="355"/>
      <c r="T29" s="355"/>
      <c r="U29" s="355"/>
      <c r="V29" s="355"/>
      <c r="W29" s="355"/>
      <c r="X29" s="355"/>
      <c r="Y29" s="355"/>
      <c r="Z29" s="355"/>
      <c r="AA29" s="355"/>
      <c r="AB29" s="355"/>
      <c r="AC29" s="355"/>
      <c r="AD29" s="355"/>
      <c r="AE29" s="355"/>
      <c r="AF29" s="355"/>
      <c r="AG29" s="355"/>
      <c r="AH29" s="355"/>
    </row>
    <row r="30" spans="1:34" x14ac:dyDescent="0.2">
      <c r="A30" s="355"/>
      <c r="B30" s="500"/>
      <c r="C30" s="387"/>
      <c r="D30" s="387"/>
      <c r="E30" s="387"/>
      <c r="F30" s="387"/>
      <c r="G30" s="387"/>
      <c r="H30" s="387"/>
      <c r="I30" s="387"/>
      <c r="J30" s="387"/>
      <c r="K30" s="566"/>
      <c r="L30" s="387"/>
      <c r="M30" s="387"/>
      <c r="N30" s="501"/>
      <c r="O30" s="355"/>
      <c r="R30" s="355"/>
      <c r="S30" s="355"/>
      <c r="T30" s="355"/>
      <c r="U30" s="355"/>
      <c r="V30" s="355"/>
      <c r="W30" s="355"/>
      <c r="X30" s="355"/>
      <c r="Y30" s="355"/>
      <c r="Z30" s="355"/>
      <c r="AA30" s="355"/>
      <c r="AB30" s="355"/>
      <c r="AC30" s="355"/>
      <c r="AD30" s="355"/>
      <c r="AE30" s="355"/>
      <c r="AF30" s="355"/>
      <c r="AG30" s="355"/>
      <c r="AH30" s="355"/>
    </row>
    <row r="31" spans="1:34" ht="27" customHeight="1" x14ac:dyDescent="0.2">
      <c r="A31" s="355"/>
      <c r="B31" s="500"/>
      <c r="C31" s="1230" t="s">
        <v>868</v>
      </c>
      <c r="D31" s="1230"/>
      <c r="E31" s="1230"/>
      <c r="F31" s="1230"/>
      <c r="G31" s="1230"/>
      <c r="H31" s="1230"/>
      <c r="I31" s="1230"/>
      <c r="J31" s="387"/>
      <c r="K31" s="481" t="s">
        <v>547</v>
      </c>
      <c r="L31" s="479" t="s">
        <v>707</v>
      </c>
      <c r="M31" s="398">
        <f>M18+M19+M21+M23+M25+M27+M29</f>
        <v>10760</v>
      </c>
      <c r="N31" s="501"/>
      <c r="O31" s="355"/>
      <c r="R31" s="355"/>
      <c r="S31" s="355"/>
      <c r="T31" s="355"/>
      <c r="U31" s="355"/>
      <c r="V31" s="355"/>
      <c r="W31" s="355"/>
      <c r="X31" s="355"/>
      <c r="Y31" s="355"/>
      <c r="Z31" s="355"/>
      <c r="AA31" s="355"/>
      <c r="AB31" s="355"/>
      <c r="AC31" s="355"/>
      <c r="AD31" s="355"/>
      <c r="AE31" s="355"/>
      <c r="AF31" s="355"/>
      <c r="AG31" s="355"/>
      <c r="AH31" s="355"/>
    </row>
    <row r="32" spans="1:34" ht="12" customHeight="1" x14ac:dyDescent="0.2">
      <c r="A32" s="355"/>
      <c r="B32" s="513"/>
      <c r="C32" s="487"/>
      <c r="D32" s="487"/>
      <c r="E32" s="487"/>
      <c r="F32" s="487"/>
      <c r="G32" s="487"/>
      <c r="H32" s="487"/>
      <c r="I32" s="487"/>
      <c r="J32" s="487"/>
      <c r="K32" s="480"/>
      <c r="L32" s="514"/>
      <c r="M32" s="480"/>
      <c r="N32" s="515"/>
      <c r="O32" s="355"/>
      <c r="R32" s="355"/>
      <c r="S32" s="355"/>
      <c r="T32" s="355"/>
      <c r="U32" s="355"/>
      <c r="V32" s="355"/>
      <c r="W32" s="355"/>
      <c r="X32" s="355"/>
      <c r="Y32" s="355"/>
      <c r="Z32" s="355"/>
      <c r="AA32" s="355"/>
      <c r="AB32" s="355"/>
      <c r="AC32" s="355"/>
      <c r="AD32" s="355"/>
      <c r="AE32" s="355"/>
      <c r="AF32" s="355"/>
      <c r="AG32" s="355"/>
      <c r="AH32" s="355"/>
    </row>
    <row r="33" spans="1:34" x14ac:dyDescent="0.2">
      <c r="A33" s="355"/>
      <c r="B33" s="355"/>
      <c r="C33" s="355"/>
      <c r="D33" s="355"/>
      <c r="E33" s="355"/>
      <c r="F33" s="355"/>
      <c r="G33" s="355"/>
      <c r="H33" s="355"/>
      <c r="I33" s="355"/>
      <c r="J33" s="355"/>
      <c r="K33" s="516"/>
      <c r="L33" s="357"/>
      <c r="M33" s="481"/>
      <c r="N33" s="355"/>
      <c r="O33" s="355"/>
      <c r="R33" s="355"/>
      <c r="S33" s="355"/>
      <c r="T33" s="355"/>
      <c r="U33" s="355"/>
      <c r="V33" s="355"/>
      <c r="W33" s="355"/>
      <c r="X33" s="355"/>
      <c r="Y33" s="355"/>
      <c r="Z33" s="355"/>
      <c r="AA33" s="355"/>
      <c r="AB33" s="355"/>
      <c r="AC33" s="355"/>
      <c r="AD33" s="355"/>
      <c r="AE33" s="355"/>
      <c r="AF33" s="355"/>
      <c r="AG33" s="355"/>
      <c r="AH33" s="355"/>
    </row>
    <row r="34" spans="1:34" ht="12" hidden="1" customHeight="1" thickBot="1" x14ac:dyDescent="0.25">
      <c r="A34" s="355"/>
      <c r="B34" s="498"/>
      <c r="C34" s="489"/>
      <c r="D34" s="489"/>
      <c r="E34" s="489"/>
      <c r="F34" s="489"/>
      <c r="G34" s="489"/>
      <c r="H34" s="489"/>
      <c r="I34" s="489"/>
      <c r="J34" s="489"/>
      <c r="K34" s="489"/>
      <c r="L34" s="489"/>
      <c r="M34" s="489"/>
      <c r="N34" s="499"/>
      <c r="O34" s="355"/>
      <c r="P34" s="552" t="s">
        <v>377</v>
      </c>
      <c r="Q34" s="553" t="s">
        <v>378</v>
      </c>
      <c r="R34" s="355"/>
      <c r="S34" s="355"/>
      <c r="T34" s="355"/>
      <c r="U34" s="355"/>
      <c r="V34" s="355"/>
      <c r="W34" s="355"/>
      <c r="X34" s="355"/>
      <c r="Y34" s="355"/>
      <c r="Z34" s="355"/>
      <c r="AA34" s="355"/>
      <c r="AB34" s="355"/>
      <c r="AC34" s="355"/>
      <c r="AD34" s="355"/>
      <c r="AE34" s="355"/>
      <c r="AF34" s="355"/>
      <c r="AG34" s="355"/>
      <c r="AH34" s="355"/>
    </row>
    <row r="35" spans="1:34" ht="21.75" hidden="1" customHeight="1" x14ac:dyDescent="0.2">
      <c r="A35" s="355"/>
      <c r="B35" s="500"/>
      <c r="C35" s="482" t="s">
        <v>60</v>
      </c>
      <c r="D35" s="387"/>
      <c r="E35" s="387"/>
      <c r="F35" s="517"/>
      <c r="G35" s="387"/>
      <c r="H35" s="387"/>
      <c r="I35" s="387"/>
      <c r="J35" s="387"/>
      <c r="K35" s="387"/>
      <c r="L35" s="387"/>
      <c r="M35" s="387"/>
      <c r="N35" s="501"/>
      <c r="O35" s="355"/>
      <c r="P35" s="540">
        <v>0</v>
      </c>
      <c r="Q35" s="539">
        <v>3</v>
      </c>
      <c r="R35" s="355"/>
      <c r="S35" s="355"/>
      <c r="T35" s="355"/>
      <c r="U35" s="355"/>
      <c r="V35" s="355"/>
      <c r="W35" s="355"/>
      <c r="X35" s="355"/>
      <c r="Y35" s="355"/>
      <c r="Z35" s="355"/>
      <c r="AA35" s="355"/>
      <c r="AB35" s="355"/>
      <c r="AC35" s="355"/>
      <c r="AD35" s="355"/>
      <c r="AE35" s="355"/>
      <c r="AF35" s="355"/>
      <c r="AG35" s="355"/>
      <c r="AH35" s="355"/>
    </row>
    <row r="36" spans="1:34" ht="7.5" hidden="1" customHeight="1" x14ac:dyDescent="0.2">
      <c r="A36" s="355"/>
      <c r="B36" s="500"/>
      <c r="C36" s="387"/>
      <c r="D36" s="387"/>
      <c r="E36" s="387"/>
      <c r="F36" s="387"/>
      <c r="G36" s="387"/>
      <c r="H36" s="387"/>
      <c r="I36" s="387"/>
      <c r="J36" s="387"/>
      <c r="K36" s="387"/>
      <c r="L36" s="387"/>
      <c r="M36" s="387"/>
      <c r="N36" s="501"/>
      <c r="O36" s="355"/>
      <c r="P36" s="540">
        <v>100</v>
      </c>
      <c r="Q36" s="539">
        <v>3</v>
      </c>
      <c r="R36" s="355"/>
      <c r="S36" s="355"/>
      <c r="T36" s="355"/>
      <c r="U36" s="355"/>
      <c r="V36" s="355"/>
      <c r="W36" s="355"/>
      <c r="X36" s="355"/>
      <c r="Y36" s="355"/>
      <c r="Z36" s="355"/>
      <c r="AA36" s="355"/>
      <c r="AB36" s="355"/>
      <c r="AC36" s="355"/>
      <c r="AD36" s="355"/>
      <c r="AE36" s="355"/>
      <c r="AF36" s="355"/>
      <c r="AG36" s="355"/>
      <c r="AH36" s="355"/>
    </row>
    <row r="37" spans="1:34" hidden="1" x14ac:dyDescent="0.2">
      <c r="A37" s="355"/>
      <c r="B37" s="500"/>
      <c r="C37" s="566" t="str">
        <f>"NB: It has been assumed that funding will be at the same level as for "&amp;'Fin.Yr Lookups'!A16</f>
        <v>NB: It has been assumed that funding will be at the same level as for 2019-20</v>
      </c>
      <c r="D37" s="468"/>
      <c r="E37" s="387"/>
      <c r="F37" s="518"/>
      <c r="G37" s="387"/>
      <c r="H37" s="387"/>
      <c r="I37" s="387"/>
      <c r="J37" s="387"/>
      <c r="K37" s="387"/>
      <c r="L37" s="387"/>
      <c r="M37" s="387"/>
      <c r="N37" s="501"/>
      <c r="O37" s="355"/>
      <c r="P37" s="540">
        <v>101</v>
      </c>
      <c r="Q37" s="539">
        <v>5</v>
      </c>
      <c r="R37" s="355"/>
      <c r="S37" s="355"/>
      <c r="T37" s="355"/>
      <c r="U37" s="355"/>
      <c r="V37" s="355"/>
      <c r="W37" s="355"/>
      <c r="X37" s="355"/>
      <c r="Y37" s="355"/>
      <c r="Z37" s="355"/>
      <c r="AA37" s="355"/>
      <c r="AB37" s="355"/>
      <c r="AC37" s="355"/>
      <c r="AD37" s="355"/>
      <c r="AE37" s="355"/>
      <c r="AF37" s="355"/>
      <c r="AG37" s="355"/>
      <c r="AH37" s="355"/>
    </row>
    <row r="38" spans="1:34" ht="3.75" hidden="1" customHeight="1" x14ac:dyDescent="0.2">
      <c r="A38" s="355"/>
      <c r="B38" s="500"/>
      <c r="C38" s="483"/>
      <c r="D38" s="468"/>
      <c r="E38" s="387"/>
      <c r="F38" s="387"/>
      <c r="G38" s="387"/>
      <c r="H38" s="387"/>
      <c r="I38" s="387"/>
      <c r="J38" s="387"/>
      <c r="K38" s="387"/>
      <c r="L38" s="387"/>
      <c r="M38" s="387"/>
      <c r="N38" s="501"/>
      <c r="O38" s="355"/>
      <c r="P38" s="540">
        <v>150</v>
      </c>
      <c r="Q38" s="539">
        <v>5</v>
      </c>
      <c r="R38" s="355"/>
      <c r="S38" s="355"/>
      <c r="T38" s="355"/>
      <c r="U38" s="355"/>
      <c r="V38" s="355"/>
      <c r="W38" s="355"/>
      <c r="X38" s="355"/>
      <c r="Y38" s="355"/>
      <c r="Z38" s="355"/>
      <c r="AA38" s="355"/>
      <c r="AB38" s="355"/>
      <c r="AC38" s="355"/>
      <c r="AD38" s="355"/>
      <c r="AE38" s="355"/>
      <c r="AF38" s="355"/>
      <c r="AG38" s="355"/>
      <c r="AH38" s="355"/>
    </row>
    <row r="39" spans="1:34" hidden="1" x14ac:dyDescent="0.2">
      <c r="A39" s="355"/>
      <c r="B39" s="500"/>
      <c r="C39" s="566" t="s">
        <v>874</v>
      </c>
      <c r="D39" s="387"/>
      <c r="E39" s="387"/>
      <c r="F39" s="387"/>
      <c r="G39" s="387"/>
      <c r="H39" s="387"/>
      <c r="I39" s="387"/>
      <c r="J39" s="387"/>
      <c r="K39" s="387"/>
      <c r="L39" s="387"/>
      <c r="M39" s="387"/>
      <c r="N39" s="501"/>
      <c r="O39" s="355"/>
      <c r="P39" s="540">
        <v>151</v>
      </c>
      <c r="Q39" s="539">
        <v>8</v>
      </c>
      <c r="R39" s="355"/>
      <c r="S39" s="355"/>
      <c r="T39" s="355"/>
      <c r="U39" s="355"/>
      <c r="V39" s="355"/>
      <c r="W39" s="355"/>
      <c r="X39" s="355"/>
      <c r="Y39" s="355"/>
      <c r="Z39" s="355"/>
      <c r="AA39" s="355"/>
      <c r="AB39" s="355"/>
      <c r="AC39" s="355"/>
      <c r="AD39" s="355"/>
      <c r="AE39" s="355"/>
      <c r="AF39" s="355"/>
      <c r="AG39" s="355"/>
      <c r="AH39" s="355"/>
    </row>
    <row r="40" spans="1:34" hidden="1" x14ac:dyDescent="0.2">
      <c r="A40" s="355"/>
      <c r="B40" s="500"/>
      <c r="C40" s="1242"/>
      <c r="D40" s="1242"/>
      <c r="E40" s="1242"/>
      <c r="F40" s="1242"/>
      <c r="G40" s="1242"/>
      <c r="H40" s="1242"/>
      <c r="I40" s="1242"/>
      <c r="J40" s="1242"/>
      <c r="K40" s="1242"/>
      <c r="L40" s="1242"/>
      <c r="M40" s="1242"/>
      <c r="N40" s="501"/>
      <c r="O40" s="355"/>
      <c r="P40" s="540">
        <v>200</v>
      </c>
      <c r="Q40" s="539">
        <v>8</v>
      </c>
      <c r="R40" s="355"/>
      <c r="S40" s="355"/>
      <c r="T40" s="355"/>
      <c r="U40" s="355"/>
      <c r="V40" s="355"/>
      <c r="W40" s="355"/>
      <c r="X40" s="355"/>
      <c r="Y40" s="355"/>
      <c r="Z40" s="355"/>
      <c r="AA40" s="355"/>
      <c r="AB40" s="355"/>
      <c r="AC40" s="355"/>
      <c r="AD40" s="355"/>
      <c r="AE40" s="355"/>
      <c r="AF40" s="355"/>
      <c r="AG40" s="355"/>
      <c r="AH40" s="355"/>
    </row>
    <row r="41" spans="1:34" ht="15.75" hidden="1" x14ac:dyDescent="0.2">
      <c r="A41" s="355"/>
      <c r="B41" s="500"/>
      <c r="C41" s="484" t="str">
        <f>IF('Schools Block'!J1="S","Secondary Schools","Infant, Junior &amp; Primary Schools")</f>
        <v>Infant, Junior &amp; Primary Schools</v>
      </c>
      <c r="D41" s="468"/>
      <c r="E41" s="387"/>
      <c r="F41" s="387"/>
      <c r="G41" s="387"/>
      <c r="H41" s="387"/>
      <c r="I41" s="387"/>
      <c r="J41" s="387"/>
      <c r="K41" s="387"/>
      <c r="L41" s="387"/>
      <c r="M41" s="387"/>
      <c r="N41" s="501"/>
      <c r="O41" s="355"/>
      <c r="P41" s="540">
        <v>201</v>
      </c>
      <c r="Q41" s="539">
        <v>10</v>
      </c>
      <c r="R41" s="355"/>
      <c r="S41" s="355"/>
      <c r="T41" s="355"/>
      <c r="U41" s="355"/>
      <c r="V41" s="355"/>
      <c r="W41" s="355"/>
      <c r="X41" s="355"/>
      <c r="Y41" s="355"/>
      <c r="Z41" s="355"/>
      <c r="AA41" s="355"/>
      <c r="AB41" s="355"/>
      <c r="AC41" s="355"/>
      <c r="AD41" s="355"/>
      <c r="AE41" s="355"/>
      <c r="AF41" s="355"/>
      <c r="AG41" s="355"/>
      <c r="AH41" s="355"/>
    </row>
    <row r="42" spans="1:34" ht="11.25" hidden="1" customHeight="1" x14ac:dyDescent="0.2">
      <c r="A42" s="355"/>
      <c r="B42" s="500"/>
      <c r="C42" s="484"/>
      <c r="D42" s="468"/>
      <c r="E42" s="387"/>
      <c r="F42" s="387"/>
      <c r="G42" s="387"/>
      <c r="H42" s="387"/>
      <c r="I42" s="387"/>
      <c r="J42" s="387"/>
      <c r="K42" s="387"/>
      <c r="L42" s="387"/>
      <c r="M42" s="387"/>
      <c r="N42" s="501"/>
      <c r="O42" s="355"/>
      <c r="P42" s="540">
        <v>250</v>
      </c>
      <c r="Q42" s="539">
        <v>10</v>
      </c>
      <c r="R42" s="355"/>
      <c r="S42" s="355"/>
      <c r="T42" s="355"/>
      <c r="U42" s="355"/>
      <c r="V42" s="355"/>
      <c r="W42" s="355"/>
      <c r="X42" s="355"/>
      <c r="Y42" s="355"/>
      <c r="Z42" s="355"/>
      <c r="AA42" s="355"/>
      <c r="AB42" s="355"/>
      <c r="AC42" s="355"/>
      <c r="AD42" s="355"/>
      <c r="AE42" s="355"/>
      <c r="AF42" s="355"/>
      <c r="AG42" s="355"/>
      <c r="AH42" s="355"/>
    </row>
    <row r="43" spans="1:34" ht="13.5" hidden="1" thickBot="1" x14ac:dyDescent="0.25">
      <c r="A43" s="355"/>
      <c r="B43" s="500"/>
      <c r="C43" s="658"/>
      <c r="D43" s="652" t="str">
        <f>IF('Schools Block'!L1="S","Estimated number on roll October "&amp;'Fin.Yr Lookups'!A3&amp;" (KS3 &amp; KS4)","Estimated number on roll October "&amp;'Fin.Yr Lookups'!A3&amp;" (KS1 &amp; KS2)")</f>
        <v>Estimated number on roll October 2020 (KS1 &amp; KS2)</v>
      </c>
      <c r="E43" s="658"/>
      <c r="F43" s="387"/>
      <c r="G43" s="387"/>
      <c r="H43" s="659"/>
      <c r="I43" s="1206"/>
      <c r="J43" s="1207"/>
      <c r="K43" s="387"/>
      <c r="L43" s="387"/>
      <c r="M43" s="387"/>
      <c r="N43" s="501"/>
      <c r="O43" s="355"/>
      <c r="P43" s="541">
        <v>251</v>
      </c>
      <c r="Q43" s="554">
        <v>13</v>
      </c>
      <c r="R43" s="355"/>
      <c r="S43" s="355"/>
      <c r="T43" s="355"/>
      <c r="U43" s="355"/>
      <c r="V43" s="355"/>
      <c r="W43" s="355"/>
      <c r="X43" s="355"/>
      <c r="Y43" s="355"/>
      <c r="Z43" s="355"/>
      <c r="AA43" s="355"/>
      <c r="AB43" s="355"/>
      <c r="AC43" s="355"/>
      <c r="AD43" s="355"/>
      <c r="AE43" s="355"/>
      <c r="AF43" s="355"/>
      <c r="AG43" s="355"/>
      <c r="AH43" s="355"/>
    </row>
    <row r="44" spans="1:34" ht="6" hidden="1" customHeight="1" x14ac:dyDescent="0.2">
      <c r="A44" s="355"/>
      <c r="B44" s="500"/>
      <c r="C44" s="387"/>
      <c r="D44" s="387"/>
      <c r="E44" s="387"/>
      <c r="F44" s="387"/>
      <c r="G44" s="387"/>
      <c r="H44" s="387"/>
      <c r="I44" s="468"/>
      <c r="J44" s="387"/>
      <c r="K44" s="387"/>
      <c r="L44" s="387"/>
      <c r="M44" s="387"/>
      <c r="N44" s="501"/>
      <c r="O44" s="355"/>
      <c r="R44" s="355"/>
      <c r="S44" s="355"/>
      <c r="T44" s="355"/>
      <c r="U44" s="355"/>
      <c r="V44" s="355"/>
      <c r="W44" s="355"/>
      <c r="X44" s="355"/>
      <c r="Y44" s="355"/>
      <c r="Z44" s="355"/>
      <c r="AA44" s="355"/>
      <c r="AB44" s="355"/>
      <c r="AC44" s="355"/>
      <c r="AD44" s="355"/>
      <c r="AE44" s="355"/>
      <c r="AF44" s="355"/>
      <c r="AG44" s="355"/>
      <c r="AH44" s="355"/>
    </row>
    <row r="45" spans="1:34" s="505" customFormat="1" ht="18" hidden="1" customHeight="1" x14ac:dyDescent="0.2">
      <c r="A45" s="502"/>
      <c r="B45" s="503"/>
      <c r="C45" s="481" t="s">
        <v>61</v>
      </c>
      <c r="D45" s="538" t="str">
        <f>IF('Schools Block'!J1="S","Number on roll October "&amp;'Fin.Yr Lookups'!A14&amp;" (KS3 &amp; KS4)","Number on roll October "&amp;'Fin.Yr Lookups'!A14&amp;" (KS1 &amp; KS2)")</f>
        <v>Number on roll October 2019 (KS1 &amp; KS2)</v>
      </c>
      <c r="E45" s="538"/>
      <c r="F45" s="538"/>
      <c r="G45" s="538"/>
      <c r="H45" s="538"/>
      <c r="I45" s="1206"/>
      <c r="J45" s="1207"/>
      <c r="K45" s="666"/>
      <c r="L45" s="538"/>
      <c r="M45" s="388"/>
      <c r="N45" s="668"/>
      <c r="O45" s="502"/>
      <c r="P45" s="504"/>
      <c r="Q45" s="504"/>
      <c r="R45" s="502"/>
      <c r="S45" s="502"/>
      <c r="T45" s="502"/>
      <c r="U45" s="502"/>
      <c r="V45" s="502"/>
      <c r="W45" s="502"/>
      <c r="X45" s="502"/>
      <c r="Y45" s="502"/>
      <c r="Z45" s="502"/>
      <c r="AA45" s="502"/>
      <c r="AB45" s="502"/>
      <c r="AC45" s="502"/>
      <c r="AD45" s="502"/>
      <c r="AE45" s="502"/>
      <c r="AF45" s="502"/>
      <c r="AG45" s="502"/>
      <c r="AH45" s="502"/>
    </row>
    <row r="46" spans="1:34" ht="6" hidden="1" customHeight="1" x14ac:dyDescent="0.2">
      <c r="A46" s="355"/>
      <c r="B46" s="500"/>
      <c r="C46" s="651"/>
      <c r="D46" s="387"/>
      <c r="E46" s="387"/>
      <c r="F46" s="387"/>
      <c r="G46" s="387"/>
      <c r="H46" s="387"/>
      <c r="I46" s="485"/>
      <c r="J46" s="485"/>
      <c r="K46" s="666"/>
      <c r="L46" s="387"/>
      <c r="M46" s="388"/>
      <c r="N46" s="501"/>
      <c r="O46" s="355"/>
      <c r="R46" s="355"/>
      <c r="S46" s="355"/>
      <c r="T46" s="355"/>
      <c r="U46" s="355"/>
      <c r="V46" s="355"/>
      <c r="W46" s="355"/>
      <c r="X46" s="355"/>
      <c r="Y46" s="355"/>
      <c r="Z46" s="355"/>
      <c r="AA46" s="355"/>
      <c r="AB46" s="355"/>
      <c r="AC46" s="355"/>
      <c r="AD46" s="355"/>
      <c r="AE46" s="355"/>
      <c r="AF46" s="355"/>
      <c r="AG46" s="355"/>
      <c r="AH46" s="355"/>
    </row>
    <row r="47" spans="1:34" ht="38.1" hidden="1" customHeight="1" x14ac:dyDescent="0.2">
      <c r="A47" s="355"/>
      <c r="B47" s="500"/>
      <c r="C47" s="651"/>
      <c r="D47" s="1205" t="str">
        <f>"Additional estimated pupils to be funded from September "&amp;'Fin.Yr Lookups'!A3&amp;" on "&amp;'Fin.Yr Lookups'!A5&amp;" Schools Block (only add pupils here if estimated pupil funding has been agreed by the School Organisation Team)"</f>
        <v>Additional estimated pupils to be funded from September 2020 on 2020-21 Schools Block (only add pupils here if estimated pupil funding has been agreed by the School Organisation Team)</v>
      </c>
      <c r="E47" s="1210"/>
      <c r="F47" s="1210"/>
      <c r="G47" s="1210"/>
      <c r="H47" s="1211"/>
      <c r="I47" s="1206"/>
      <c r="J47" s="1207"/>
      <c r="K47" s="666"/>
      <c r="L47" s="387"/>
      <c r="M47" s="388"/>
      <c r="N47" s="501"/>
      <c r="O47" s="355"/>
      <c r="R47" s="355"/>
      <c r="S47" s="355"/>
      <c r="T47" s="355"/>
      <c r="U47" s="355"/>
      <c r="V47" s="355"/>
      <c r="W47" s="355"/>
      <c r="X47" s="355"/>
      <c r="Y47" s="355"/>
      <c r="Z47" s="355"/>
      <c r="AA47" s="355"/>
      <c r="AB47" s="355"/>
      <c r="AC47" s="355"/>
      <c r="AD47" s="355"/>
      <c r="AE47" s="355"/>
      <c r="AF47" s="355"/>
      <c r="AG47" s="355"/>
      <c r="AH47" s="355"/>
    </row>
    <row r="48" spans="1:34" ht="6" hidden="1" customHeight="1" x14ac:dyDescent="0.2">
      <c r="A48" s="355"/>
      <c r="B48" s="500"/>
      <c r="C48" s="651"/>
      <c r="D48" s="566"/>
      <c r="E48" s="387"/>
      <c r="F48" s="387"/>
      <c r="G48" s="387"/>
      <c r="H48" s="485"/>
      <c r="I48" s="485"/>
      <c r="J48" s="485"/>
      <c r="K48" s="485"/>
      <c r="L48" s="387"/>
      <c r="M48" s="388"/>
      <c r="N48" s="501"/>
      <c r="O48" s="355"/>
      <c r="R48" s="355"/>
      <c r="S48" s="355"/>
      <c r="T48" s="355"/>
      <c r="U48" s="355"/>
      <c r="V48" s="355"/>
      <c r="W48" s="355"/>
      <c r="X48" s="355"/>
      <c r="Y48" s="355"/>
      <c r="Z48" s="355"/>
      <c r="AA48" s="355"/>
      <c r="AB48" s="355"/>
      <c r="AC48" s="355"/>
      <c r="AD48" s="355"/>
      <c r="AE48" s="355"/>
      <c r="AF48" s="355"/>
      <c r="AG48" s="355"/>
      <c r="AH48" s="355"/>
    </row>
    <row r="49" spans="1:34" ht="14.25" hidden="1" customHeight="1" x14ac:dyDescent="0.2">
      <c r="A49" s="355"/>
      <c r="B49" s="500"/>
      <c r="C49" s="387"/>
      <c r="D49" s="1205" t="str">
        <f>'Fin.Yr Lookups'!A5&amp;" School Block Funded pupils (from September "&amp;'Fin.Yr Lookups'!A3&amp;")"</f>
        <v>2020-21 School Block Funded pupils (from September 2020)</v>
      </c>
      <c r="E49" s="1205"/>
      <c r="F49" s="1205"/>
      <c r="G49" s="1205"/>
      <c r="H49" s="1198"/>
      <c r="I49" s="1208">
        <f>I45+(I47)</f>
        <v>0</v>
      </c>
      <c r="J49" s="1209"/>
      <c r="K49" s="665"/>
      <c r="L49" s="387"/>
      <c r="M49" s="388"/>
      <c r="N49" s="501"/>
      <c r="O49" s="355"/>
      <c r="R49" s="355"/>
      <c r="S49" s="355"/>
      <c r="T49" s="355"/>
      <c r="U49" s="355"/>
      <c r="V49" s="355"/>
      <c r="W49" s="355"/>
      <c r="X49" s="355"/>
      <c r="Y49" s="355"/>
      <c r="Z49" s="355"/>
      <c r="AA49" s="355"/>
      <c r="AB49" s="355"/>
      <c r="AC49" s="355"/>
      <c r="AD49" s="355"/>
      <c r="AE49" s="355"/>
      <c r="AF49" s="355"/>
      <c r="AG49" s="355"/>
      <c r="AH49" s="355"/>
    </row>
    <row r="50" spans="1:34" ht="6" hidden="1" customHeight="1" x14ac:dyDescent="0.2">
      <c r="A50" s="355"/>
      <c r="B50" s="500"/>
      <c r="C50" s="387"/>
      <c r="D50" s="387"/>
      <c r="E50" s="387"/>
      <c r="F50" s="387"/>
      <c r="G50" s="387"/>
      <c r="H50" s="387"/>
      <c r="I50" s="479"/>
      <c r="J50" s="387"/>
      <c r="K50" s="387"/>
      <c r="L50" s="387"/>
      <c r="M50" s="387"/>
      <c r="N50" s="501"/>
      <c r="O50" s="355"/>
      <c r="R50" s="355"/>
      <c r="S50" s="355"/>
      <c r="T50" s="355"/>
      <c r="U50" s="355"/>
      <c r="V50" s="355"/>
      <c r="W50" s="355"/>
      <c r="X50" s="355"/>
      <c r="Y50" s="355"/>
      <c r="Z50" s="355"/>
      <c r="AA50" s="355"/>
      <c r="AB50" s="355"/>
      <c r="AC50" s="355"/>
      <c r="AD50" s="355"/>
      <c r="AE50" s="355"/>
      <c r="AF50" s="355"/>
      <c r="AG50" s="355"/>
      <c r="AH50" s="355"/>
    </row>
    <row r="51" spans="1:34" ht="12.75" hidden="1" customHeight="1" x14ac:dyDescent="0.2">
      <c r="A51" s="355"/>
      <c r="B51" s="500"/>
      <c r="C51" s="387"/>
      <c r="D51" s="387" t="s">
        <v>763</v>
      </c>
      <c r="E51" s="387"/>
      <c r="F51" s="387"/>
      <c r="G51" s="387"/>
      <c r="H51" s="387"/>
      <c r="I51" s="1240">
        <f>IF(I43&gt;I49,I43-I49,0)</f>
        <v>0</v>
      </c>
      <c r="J51" s="1241"/>
      <c r="K51" s="1243" t="s">
        <v>805</v>
      </c>
      <c r="L51" s="1243"/>
      <c r="M51" s="1244" t="s">
        <v>806</v>
      </c>
      <c r="N51" s="501"/>
      <c r="O51" s="355"/>
      <c r="R51" s="355"/>
      <c r="S51" s="355"/>
      <c r="T51" s="355"/>
      <c r="U51" s="355"/>
      <c r="V51" s="355"/>
      <c r="W51" s="355"/>
      <c r="X51" s="355"/>
      <c r="Y51" s="355"/>
      <c r="Z51" s="355"/>
      <c r="AA51" s="355"/>
      <c r="AB51" s="355"/>
      <c r="AC51" s="355"/>
      <c r="AD51" s="355"/>
      <c r="AE51" s="355"/>
      <c r="AF51" s="355"/>
      <c r="AG51" s="355"/>
      <c r="AH51" s="355"/>
    </row>
    <row r="52" spans="1:34" ht="6" hidden="1" customHeight="1" x14ac:dyDescent="0.2">
      <c r="A52" s="355"/>
      <c r="B52" s="500"/>
      <c r="C52" s="387"/>
      <c r="D52" s="387"/>
      <c r="E52" s="387"/>
      <c r="F52" s="387"/>
      <c r="G52" s="387"/>
      <c r="H52" s="387"/>
      <c r="I52" s="479"/>
      <c r="J52" s="387"/>
      <c r="K52" s="1243"/>
      <c r="L52" s="1243"/>
      <c r="M52" s="1245"/>
      <c r="N52" s="501"/>
      <c r="O52" s="355"/>
      <c r="R52" s="355"/>
      <c r="S52" s="355"/>
      <c r="T52" s="355"/>
      <c r="U52" s="355"/>
      <c r="V52" s="355"/>
      <c r="W52" s="355"/>
      <c r="X52" s="355"/>
      <c r="Y52" s="355"/>
      <c r="Z52" s="355"/>
      <c r="AA52" s="355"/>
      <c r="AB52" s="355"/>
      <c r="AC52" s="355"/>
      <c r="AD52" s="355"/>
      <c r="AE52" s="355"/>
      <c r="AF52" s="355"/>
      <c r="AG52" s="355"/>
      <c r="AH52" s="355"/>
    </row>
    <row r="53" spans="1:34" hidden="1" x14ac:dyDescent="0.2">
      <c r="A53" s="355"/>
      <c r="B53" s="500"/>
      <c r="C53" s="435" t="s">
        <v>61</v>
      </c>
      <c r="D53" s="387" t="s">
        <v>62</v>
      </c>
      <c r="E53" s="387"/>
      <c r="F53" s="387"/>
      <c r="G53" s="387"/>
      <c r="H53" s="387"/>
      <c r="I53" s="1246">
        <f>VLOOKUP(I45,P35:Q43,2,TRUE)</f>
        <v>3</v>
      </c>
      <c r="J53" s="1247"/>
      <c r="K53" s="1243"/>
      <c r="L53" s="1243"/>
      <c r="M53" s="1245"/>
      <c r="N53" s="501"/>
      <c r="O53" s="355"/>
      <c r="Q53" s="570"/>
      <c r="R53" s="355"/>
      <c r="S53" s="355"/>
      <c r="T53" s="355"/>
      <c r="U53" s="355"/>
      <c r="V53" s="355"/>
      <c r="W53" s="355"/>
      <c r="X53" s="355"/>
      <c r="Y53" s="355"/>
      <c r="Z53" s="355"/>
      <c r="AA53" s="355"/>
      <c r="AB53" s="355"/>
      <c r="AC53" s="355"/>
      <c r="AD53" s="355"/>
      <c r="AE53" s="355"/>
      <c r="AF53" s="355"/>
      <c r="AG53" s="355"/>
      <c r="AH53" s="355"/>
    </row>
    <row r="54" spans="1:34" ht="6" hidden="1" customHeight="1" thickBot="1" x14ac:dyDescent="0.25">
      <c r="A54" s="355"/>
      <c r="B54" s="500"/>
      <c r="C54" s="387"/>
      <c r="D54" s="387"/>
      <c r="E54" s="387"/>
      <c r="F54" s="387"/>
      <c r="G54" s="387"/>
      <c r="H54" s="387"/>
      <c r="I54" s="479"/>
      <c r="J54" s="387"/>
      <c r="K54" s="387"/>
      <c r="L54" s="387"/>
      <c r="M54" s="387"/>
      <c r="N54" s="501"/>
      <c r="O54" s="355"/>
      <c r="R54" s="355"/>
      <c r="S54" s="355"/>
      <c r="T54" s="355"/>
      <c r="U54" s="355"/>
      <c r="V54" s="355"/>
      <c r="W54" s="355"/>
      <c r="X54" s="355"/>
      <c r="Y54" s="355"/>
      <c r="Z54" s="355"/>
      <c r="AA54" s="355"/>
      <c r="AB54" s="355"/>
      <c r="AC54" s="355"/>
      <c r="AD54" s="355"/>
      <c r="AE54" s="355"/>
      <c r="AF54" s="355"/>
      <c r="AG54" s="355"/>
      <c r="AH54" s="355"/>
    </row>
    <row r="55" spans="1:34" ht="16.5" hidden="1" customHeight="1" thickBot="1" x14ac:dyDescent="0.25">
      <c r="A55" s="355"/>
      <c r="B55" s="500"/>
      <c r="C55" s="387"/>
      <c r="D55" s="652" t="s">
        <v>63</v>
      </c>
      <c r="E55" s="658"/>
      <c r="F55" s="387"/>
      <c r="G55" s="387"/>
      <c r="H55" s="659"/>
      <c r="I55" s="1240">
        <f>IF(I51-I53&lt;=0,0,I51-I53)</f>
        <v>0</v>
      </c>
      <c r="J55" s="1241"/>
      <c r="K55" s="1212">
        <f>IF('Schools Block'!J1="P",1578.97,IF('Schools Block'!J1="S",2453.07,0))</f>
        <v>1578.97</v>
      </c>
      <c r="L55" s="1213"/>
      <c r="M55" s="680">
        <f>IF(ISERROR(ROUND(I55*K55,0)),0,ROUND(I55*K55,0))</f>
        <v>0</v>
      </c>
      <c r="N55" s="501"/>
      <c r="O55" s="355"/>
      <c r="R55" s="355"/>
      <c r="S55" s="355"/>
      <c r="T55" s="355"/>
      <c r="U55" s="355"/>
      <c r="V55" s="355"/>
      <c r="W55" s="355"/>
      <c r="X55" s="355"/>
      <c r="Y55" s="355"/>
      <c r="Z55" s="355"/>
      <c r="AA55" s="355"/>
      <c r="AB55" s="355"/>
      <c r="AC55" s="355"/>
      <c r="AD55" s="355"/>
      <c r="AE55" s="355"/>
      <c r="AF55" s="355"/>
      <c r="AG55" s="355"/>
      <c r="AH55" s="355"/>
    </row>
    <row r="56" spans="1:34" ht="16.5" hidden="1" customHeight="1" x14ac:dyDescent="0.2">
      <c r="A56" s="355"/>
      <c r="B56" s="500"/>
      <c r="C56" s="387"/>
      <c r="D56" s="672"/>
      <c r="E56" s="658"/>
      <c r="F56" s="387"/>
      <c r="G56" s="387"/>
      <c r="H56" s="658"/>
      <c r="I56" s="658"/>
      <c r="J56" s="658"/>
      <c r="K56" s="658"/>
      <c r="L56" s="658"/>
      <c r="M56" s="658"/>
      <c r="N56" s="501"/>
      <c r="O56" s="355"/>
      <c r="R56" s="1201" t="str">
        <f>IF(P57=1,"Please enter School Growth funding in cell M57, or enter a  zero if no funding has been agreed","")</f>
        <v>Please enter School Growth funding in cell M57, or enter a  zero if no funding has been agreed</v>
      </c>
      <c r="S56" s="355"/>
      <c r="T56" s="355"/>
      <c r="U56" s="355"/>
      <c r="V56" s="355"/>
      <c r="W56" s="355"/>
      <c r="X56" s="355"/>
      <c r="Y56" s="355"/>
      <c r="Z56" s="355"/>
      <c r="AA56" s="355"/>
      <c r="AB56" s="355"/>
      <c r="AC56" s="355"/>
      <c r="AD56" s="355"/>
      <c r="AE56" s="355"/>
      <c r="AF56" s="355"/>
      <c r="AG56" s="355"/>
      <c r="AH56" s="355"/>
    </row>
    <row r="57" spans="1:34" ht="16.5" hidden="1" customHeight="1" x14ac:dyDescent="0.2">
      <c r="A57" s="355"/>
      <c r="B57" s="500"/>
      <c r="C57" s="671" t="s">
        <v>61</v>
      </c>
      <c r="D57" s="673" t="s">
        <v>885</v>
      </c>
      <c r="E57" s="658"/>
      <c r="F57" s="387"/>
      <c r="G57" s="387"/>
      <c r="H57" s="658"/>
      <c r="I57" s="658"/>
      <c r="J57" s="658"/>
      <c r="K57" s="670"/>
      <c r="L57" s="670"/>
      <c r="M57" s="681"/>
      <c r="N57" s="501"/>
      <c r="O57" s="355"/>
      <c r="P57" s="389">
        <f>IF(AND(OR(M55&gt;0,K71&gt;0),M57=""),1,0)</f>
        <v>1</v>
      </c>
      <c r="R57" s="1201"/>
      <c r="S57" s="355"/>
      <c r="T57" s="355"/>
      <c r="U57" s="355"/>
      <c r="V57" s="355"/>
      <c r="W57" s="355"/>
      <c r="X57" s="355"/>
      <c r="Y57" s="355"/>
      <c r="Z57" s="355"/>
      <c r="AA57" s="355"/>
      <c r="AB57" s="355"/>
      <c r="AC57" s="355"/>
      <c r="AD57" s="355"/>
      <c r="AE57" s="355"/>
      <c r="AF57" s="355"/>
      <c r="AG57" s="355"/>
      <c r="AH57" s="355"/>
    </row>
    <row r="58" spans="1:34" ht="16.5" hidden="1" customHeight="1" thickBot="1" x14ac:dyDescent="0.25">
      <c r="A58" s="355"/>
      <c r="B58" s="500"/>
      <c r="C58" s="387"/>
      <c r="D58" s="672"/>
      <c r="E58" s="658"/>
      <c r="F58" s="387"/>
      <c r="G58" s="387"/>
      <c r="H58" s="658"/>
      <c r="I58" s="658"/>
      <c r="J58" s="658"/>
      <c r="K58" s="658"/>
      <c r="L58" s="658"/>
      <c r="M58" s="658"/>
      <c r="N58" s="501"/>
      <c r="O58" s="355"/>
      <c r="R58" s="1201"/>
      <c r="S58" s="355"/>
      <c r="T58" s="355"/>
      <c r="U58" s="355"/>
      <c r="V58" s="355"/>
      <c r="W58" s="355"/>
      <c r="X58" s="355"/>
      <c r="Y58" s="355"/>
      <c r="Z58" s="355"/>
      <c r="AA58" s="355"/>
      <c r="AB58" s="355"/>
      <c r="AC58" s="355"/>
      <c r="AD58" s="355"/>
      <c r="AE58" s="355"/>
      <c r="AF58" s="355"/>
      <c r="AG58" s="355"/>
      <c r="AH58" s="355"/>
    </row>
    <row r="59" spans="1:34" ht="16.5" hidden="1" customHeight="1" thickBot="1" x14ac:dyDescent="0.25">
      <c r="A59" s="355"/>
      <c r="B59" s="500"/>
      <c r="C59" s="387"/>
      <c r="D59" s="672"/>
      <c r="E59" s="658"/>
      <c r="F59" s="387"/>
      <c r="G59" s="387"/>
      <c r="H59" s="658"/>
      <c r="I59" s="658"/>
      <c r="J59" s="658"/>
      <c r="K59" s="674" t="s">
        <v>886</v>
      </c>
      <c r="L59" s="670"/>
      <c r="M59" s="680"/>
      <c r="N59" s="501"/>
      <c r="O59" s="355"/>
      <c r="R59" s="1201"/>
      <c r="S59" s="355"/>
      <c r="T59" s="355"/>
      <c r="U59" s="355"/>
      <c r="V59" s="355"/>
      <c r="W59" s="355"/>
      <c r="X59" s="355"/>
      <c r="Y59" s="355"/>
      <c r="Z59" s="355"/>
      <c r="AA59" s="355"/>
      <c r="AB59" s="355"/>
      <c r="AC59" s="355"/>
      <c r="AD59" s="355"/>
      <c r="AE59" s="355"/>
      <c r="AF59" s="355"/>
      <c r="AG59" s="355"/>
      <c r="AH59" s="355"/>
    </row>
    <row r="60" spans="1:34" ht="12" hidden="1" customHeight="1" x14ac:dyDescent="0.2">
      <c r="A60" s="355"/>
      <c r="B60" s="513"/>
      <c r="C60" s="487"/>
      <c r="D60" s="488"/>
      <c r="E60" s="487"/>
      <c r="F60" s="487"/>
      <c r="G60" s="487"/>
      <c r="H60" s="487"/>
      <c r="I60" s="487"/>
      <c r="J60" s="487"/>
      <c r="K60" s="487"/>
      <c r="L60" s="487"/>
      <c r="M60" s="487"/>
      <c r="N60" s="515"/>
      <c r="O60" s="355"/>
      <c r="R60" s="355"/>
      <c r="S60" s="355"/>
      <c r="T60" s="355"/>
      <c r="U60" s="355"/>
      <c r="V60" s="355"/>
      <c r="W60" s="355"/>
      <c r="X60" s="355"/>
      <c r="Y60" s="355"/>
      <c r="Z60" s="355"/>
      <c r="AA60" s="355"/>
      <c r="AB60" s="355"/>
      <c r="AC60" s="355"/>
      <c r="AD60" s="355"/>
      <c r="AE60" s="355"/>
      <c r="AF60" s="355"/>
      <c r="AG60" s="355"/>
      <c r="AH60" s="355"/>
    </row>
    <row r="61" spans="1:34" hidden="1" x14ac:dyDescent="0.2">
      <c r="A61" s="355"/>
      <c r="B61" s="355"/>
      <c r="C61" s="355"/>
      <c r="D61" s="356"/>
      <c r="E61" s="355"/>
      <c r="F61" s="355"/>
      <c r="G61" s="355"/>
      <c r="H61" s="355"/>
      <c r="I61" s="355"/>
      <c r="J61" s="355"/>
      <c r="K61" s="355"/>
      <c r="L61" s="355"/>
      <c r="M61" s="355"/>
      <c r="N61" s="355"/>
      <c r="O61" s="355"/>
      <c r="R61" s="355"/>
      <c r="S61" s="355"/>
      <c r="T61" s="355"/>
      <c r="U61" s="355"/>
      <c r="V61" s="355"/>
      <c r="W61" s="355"/>
      <c r="X61" s="355"/>
      <c r="Y61" s="355"/>
      <c r="Z61" s="355"/>
      <c r="AA61" s="355"/>
      <c r="AB61" s="355"/>
      <c r="AC61" s="355"/>
      <c r="AD61" s="355"/>
      <c r="AE61" s="355"/>
      <c r="AF61" s="355"/>
      <c r="AG61" s="355"/>
      <c r="AH61" s="355"/>
    </row>
    <row r="62" spans="1:34" ht="12" customHeight="1" x14ac:dyDescent="0.2">
      <c r="A62" s="355"/>
      <c r="B62" s="498"/>
      <c r="C62" s="489"/>
      <c r="D62" s="490"/>
      <c r="E62" s="489"/>
      <c r="F62" s="489"/>
      <c r="G62" s="489"/>
      <c r="H62" s="489"/>
      <c r="I62" s="489"/>
      <c r="J62" s="489"/>
      <c r="K62" s="489"/>
      <c r="L62" s="489"/>
      <c r="M62" s="489"/>
      <c r="N62" s="499"/>
      <c r="O62" s="355"/>
      <c r="R62" s="355"/>
      <c r="S62" s="355"/>
      <c r="T62" s="355"/>
      <c r="U62" s="355"/>
      <c r="V62" s="355"/>
      <c r="W62" s="355"/>
      <c r="X62" s="355"/>
      <c r="Y62" s="355"/>
      <c r="Z62" s="355"/>
      <c r="AA62" s="355"/>
      <c r="AB62" s="355"/>
      <c r="AC62" s="355"/>
      <c r="AD62" s="355"/>
      <c r="AE62" s="355"/>
      <c r="AF62" s="355"/>
      <c r="AG62" s="355"/>
      <c r="AH62" s="355"/>
    </row>
    <row r="63" spans="1:34" ht="18" x14ac:dyDescent="0.25">
      <c r="A63" s="355"/>
      <c r="B63" s="500"/>
      <c r="C63" s="491" t="s">
        <v>742</v>
      </c>
      <c r="D63" s="387"/>
      <c r="E63" s="387"/>
      <c r="F63" s="387"/>
      <c r="G63" s="387"/>
      <c r="H63" s="387"/>
      <c r="I63" s="387"/>
      <c r="J63" s="387"/>
      <c r="K63" s="387"/>
      <c r="L63" s="387"/>
      <c r="M63" s="387"/>
      <c r="N63" s="492"/>
      <c r="O63" s="355"/>
      <c r="R63" s="355"/>
      <c r="S63" s="355"/>
      <c r="T63" s="355"/>
      <c r="U63" s="355"/>
      <c r="V63" s="355"/>
      <c r="W63" s="355"/>
      <c r="X63" s="355"/>
      <c r="Y63" s="355"/>
      <c r="Z63" s="355"/>
      <c r="AA63" s="355"/>
      <c r="AB63" s="355"/>
      <c r="AC63" s="355"/>
      <c r="AD63" s="355"/>
      <c r="AE63" s="355"/>
      <c r="AF63" s="355"/>
      <c r="AG63" s="355"/>
      <c r="AH63" s="355"/>
    </row>
    <row r="64" spans="1:34" x14ac:dyDescent="0.2">
      <c r="A64" s="355"/>
      <c r="B64" s="500"/>
      <c r="C64" s="917" t="s">
        <v>997</v>
      </c>
      <c r="D64" s="493"/>
      <c r="E64" s="493"/>
      <c r="F64" s="493"/>
      <c r="G64" s="493"/>
      <c r="H64" s="493"/>
      <c r="I64" s="493"/>
      <c r="J64" s="493"/>
      <c r="K64" s="387"/>
      <c r="L64" s="387"/>
      <c r="M64" s="387"/>
      <c r="N64" s="501"/>
      <c r="O64" s="355"/>
      <c r="P64" s="416">
        <f>ROUNDUP(K67/25,2)</f>
        <v>1.32</v>
      </c>
      <c r="Q64" s="389" t="s">
        <v>708</v>
      </c>
      <c r="R64" s="355"/>
      <c r="S64" s="355"/>
      <c r="T64" s="355"/>
      <c r="U64" s="355"/>
      <c r="V64" s="355"/>
      <c r="W64" s="355"/>
      <c r="X64" s="355"/>
      <c r="Y64" s="355"/>
      <c r="Z64" s="355"/>
      <c r="AA64" s="355"/>
      <c r="AB64" s="355"/>
      <c r="AC64" s="355"/>
      <c r="AD64" s="355"/>
      <c r="AE64" s="355"/>
      <c r="AF64" s="355"/>
      <c r="AG64" s="355"/>
      <c r="AH64" s="355"/>
    </row>
    <row r="65" spans="1:34" s="505" customFormat="1" ht="19.5" customHeight="1" x14ac:dyDescent="0.2">
      <c r="A65" s="502"/>
      <c r="B65" s="503"/>
      <c r="C65" s="1251" t="str">
        <f>"Number of Funded KS1 pupils on the October "&amp;'Fin.Yr Lookups'!A14&amp;" census  "</f>
        <v xml:space="preserve">Number of Funded KS1 pupils on the October 2019 census  </v>
      </c>
      <c r="D65" s="1251"/>
      <c r="E65" s="1251"/>
      <c r="F65" s="1251"/>
      <c r="G65" s="1251"/>
      <c r="H65" s="1251"/>
      <c r="I65" s="1251"/>
      <c r="J65" s="1252"/>
      <c r="K65" s="1214">
        <v>33</v>
      </c>
      <c r="L65" s="1215"/>
      <c r="M65" s="538"/>
      <c r="N65" s="668"/>
      <c r="O65" s="502"/>
      <c r="P65" s="669"/>
      <c r="Q65" s="504"/>
      <c r="R65" s="502"/>
      <c r="S65" s="502"/>
      <c r="T65" s="502"/>
      <c r="U65" s="502"/>
      <c r="V65" s="502"/>
      <c r="W65" s="502"/>
      <c r="X65" s="502"/>
      <c r="Y65" s="502"/>
      <c r="Z65" s="502"/>
      <c r="AA65" s="502"/>
      <c r="AB65" s="502"/>
      <c r="AC65" s="502"/>
      <c r="AD65" s="502"/>
      <c r="AE65" s="502"/>
      <c r="AF65" s="502"/>
      <c r="AG65" s="502"/>
      <c r="AH65" s="502"/>
    </row>
    <row r="66" spans="1:34" ht="28.5" customHeight="1" x14ac:dyDescent="0.2">
      <c r="A66" s="355"/>
      <c r="B66" s="1220" t="str">
        <f>"Additional estimated KS1 pupils to be funded from September "&amp;'Fin.Yr Lookups'!A3&amp;" on "&amp;'Fin.Yr Lookups'!A5&amp;" Schools Block
(only add pupils here if estimated pupil funding has been agreed by the School Organisation Team)"</f>
        <v>Additional estimated KS1 pupils to be funded from September 2020 on 2020-21 Schools Block
(only add pupils here if estimated pupil funding has been agreed by the School Organisation Team)</v>
      </c>
      <c r="C66" s="1221"/>
      <c r="D66" s="1221"/>
      <c r="E66" s="1221"/>
      <c r="F66" s="1221"/>
      <c r="G66" s="1221"/>
      <c r="H66" s="1221"/>
      <c r="I66" s="1221"/>
      <c r="J66" s="1222"/>
      <c r="K66" s="1214">
        <v>0</v>
      </c>
      <c r="L66" s="1215"/>
      <c r="M66" s="387"/>
      <c r="N66" s="501"/>
      <c r="O66" s="355"/>
      <c r="P66" s="416"/>
      <c r="R66" s="355"/>
      <c r="S66" s="355"/>
      <c r="T66" s="355"/>
      <c r="U66" s="355"/>
      <c r="V66" s="355"/>
      <c r="W66" s="355"/>
      <c r="X66" s="355"/>
      <c r="Y66" s="355"/>
      <c r="Z66" s="355"/>
      <c r="AA66" s="355"/>
      <c r="AB66" s="355"/>
      <c r="AC66" s="355"/>
      <c r="AD66" s="355"/>
      <c r="AE66" s="355"/>
      <c r="AF66" s="355"/>
      <c r="AG66" s="355"/>
      <c r="AH66" s="355"/>
    </row>
    <row r="67" spans="1:34" ht="14.25" x14ac:dyDescent="0.2">
      <c r="A67" s="355"/>
      <c r="B67" s="500"/>
      <c r="C67" s="1218" t="str">
        <f>'Fin.Yr Lookups'!A5&amp;" School Block Funded pupils (from September "&amp;'Fin.Yr Lookups'!A3&amp;")  "</f>
        <v xml:space="preserve">2020-21 School Block Funded pupils (from September 2020)  </v>
      </c>
      <c r="D67" s="1218"/>
      <c r="E67" s="1218"/>
      <c r="F67" s="1218"/>
      <c r="G67" s="1218"/>
      <c r="H67" s="1218"/>
      <c r="I67" s="1218"/>
      <c r="J67" s="1219"/>
      <c r="K67" s="1216">
        <f>K65+K66</f>
        <v>33</v>
      </c>
      <c r="L67" s="1217"/>
      <c r="M67" s="387"/>
      <c r="N67" s="501"/>
      <c r="O67" s="355"/>
      <c r="P67" s="416"/>
      <c r="R67" s="355"/>
      <c r="S67" s="355"/>
      <c r="T67" s="355"/>
      <c r="U67" s="355"/>
      <c r="V67" s="355"/>
      <c r="W67" s="355"/>
      <c r="X67" s="355"/>
      <c r="Y67" s="355"/>
      <c r="Z67" s="355"/>
      <c r="AA67" s="355"/>
      <c r="AB67" s="355"/>
      <c r="AC67" s="355"/>
      <c r="AD67" s="355"/>
      <c r="AE67" s="355"/>
      <c r="AF67" s="355"/>
      <c r="AG67" s="355"/>
      <c r="AH67" s="355"/>
    </row>
    <row r="68" spans="1:34" x14ac:dyDescent="0.2">
      <c r="A68" s="355"/>
      <c r="B68" s="500"/>
      <c r="C68" s="603"/>
      <c r="D68" s="603"/>
      <c r="E68" s="603"/>
      <c r="F68" s="603"/>
      <c r="G68" s="603"/>
      <c r="H68" s="603"/>
      <c r="I68" s="603"/>
      <c r="J68" s="603"/>
      <c r="K68" s="387"/>
      <c r="L68" s="387"/>
      <c r="M68" s="387"/>
      <c r="N68" s="501"/>
      <c r="O68" s="355"/>
      <c r="P68" s="416">
        <f>ROUNDUP(K69/30,0)</f>
        <v>2</v>
      </c>
      <c r="Q68" s="389" t="s">
        <v>709</v>
      </c>
      <c r="R68" s="355"/>
      <c r="S68" s="355"/>
      <c r="T68" s="355"/>
      <c r="U68" s="355"/>
      <c r="V68" s="355"/>
      <c r="W68" s="355"/>
      <c r="X68" s="355"/>
      <c r="Y68" s="355"/>
      <c r="Z68" s="355"/>
      <c r="AA68" s="355"/>
      <c r="AB68" s="355"/>
      <c r="AC68" s="355"/>
      <c r="AD68" s="355"/>
      <c r="AE68" s="355"/>
      <c r="AF68" s="355"/>
      <c r="AG68" s="355"/>
      <c r="AH68" s="355"/>
    </row>
    <row r="69" spans="1:34" ht="14.25" x14ac:dyDescent="0.2">
      <c r="A69" s="355"/>
      <c r="B69" s="500"/>
      <c r="C69" s="1218" t="str">
        <f>"Estimated Number of KS1 pupils on the October "&amp;'Fin.Yr Lookups'!A3&amp;" census  "</f>
        <v xml:space="preserve">Estimated Number of KS1 pupils on the October 2020 census  </v>
      </c>
      <c r="D69" s="1218"/>
      <c r="E69" s="1218"/>
      <c r="F69" s="1218"/>
      <c r="G69" s="1218"/>
      <c r="H69" s="1218"/>
      <c r="I69" s="1218"/>
      <c r="J69" s="1219"/>
      <c r="K69" s="1249">
        <v>32</v>
      </c>
      <c r="L69" s="1250"/>
      <c r="M69" s="387"/>
      <c r="N69" s="501"/>
      <c r="O69" s="355"/>
      <c r="R69" s="355"/>
      <c r="S69" s="355"/>
      <c r="T69" s="355"/>
      <c r="U69" s="355"/>
      <c r="V69" s="355"/>
      <c r="W69" s="355"/>
      <c r="X69" s="355"/>
      <c r="Y69" s="355"/>
      <c r="Z69" s="355"/>
      <c r="AA69" s="355"/>
      <c r="AB69" s="355"/>
      <c r="AC69" s="355"/>
      <c r="AD69" s="355"/>
      <c r="AE69" s="355"/>
      <c r="AF69" s="355"/>
      <c r="AG69" s="355"/>
      <c r="AH69" s="355"/>
    </row>
    <row r="70" spans="1:34" ht="13.5" thickBot="1" x14ac:dyDescent="0.25">
      <c r="A70" s="355"/>
      <c r="B70" s="500"/>
      <c r="C70" s="566"/>
      <c r="D70" s="566"/>
      <c r="E70" s="566"/>
      <c r="F70" s="566"/>
      <c r="G70" s="566"/>
      <c r="H70" s="566"/>
      <c r="I70" s="566"/>
      <c r="J70" s="566"/>
      <c r="K70" s="387"/>
      <c r="L70" s="387"/>
      <c r="M70" s="387"/>
      <c r="N70" s="501"/>
      <c r="O70" s="355"/>
      <c r="P70" s="570">
        <f>(46172*7/12)/2</f>
        <v>13466.833333333334</v>
      </c>
      <c r="Q70" s="570" t="s">
        <v>828</v>
      </c>
      <c r="R70" s="355"/>
      <c r="S70" s="355"/>
      <c r="T70" s="355"/>
      <c r="U70" s="355"/>
      <c r="V70" s="355"/>
      <c r="W70" s="355"/>
      <c r="X70" s="355"/>
      <c r="Y70" s="355"/>
      <c r="Z70" s="355"/>
      <c r="AA70" s="355"/>
      <c r="AB70" s="355"/>
      <c r="AC70" s="355"/>
      <c r="AD70" s="355"/>
      <c r="AE70" s="355"/>
      <c r="AF70" s="355"/>
      <c r="AG70" s="355"/>
      <c r="AH70" s="355"/>
    </row>
    <row r="71" spans="1:34" ht="13.5" thickBot="1" x14ac:dyDescent="0.25">
      <c r="A71" s="355"/>
      <c r="B71" s="500"/>
      <c r="C71" s="566"/>
      <c r="D71" s="566"/>
      <c r="E71" s="566"/>
      <c r="F71" s="566"/>
      <c r="G71" s="566"/>
      <c r="H71" s="566"/>
      <c r="I71" s="566"/>
      <c r="J71" s="640" t="s">
        <v>743</v>
      </c>
      <c r="K71" s="1253">
        <f>IF(ROUND((P68-P64)*P70,0)&lt;0,0,ROUND((P68-P64)*P70,0))</f>
        <v>9157</v>
      </c>
      <c r="L71" s="1254"/>
      <c r="M71" s="387"/>
      <c r="N71" s="501"/>
      <c r="O71" s="355"/>
      <c r="P71" s="570"/>
      <c r="Q71" s="570"/>
      <c r="R71" s="355"/>
      <c r="S71" s="355"/>
      <c r="T71" s="355"/>
      <c r="U71" s="355"/>
      <c r="V71" s="355"/>
      <c r="W71" s="355"/>
      <c r="X71" s="355"/>
      <c r="Y71" s="355"/>
      <c r="Z71" s="355"/>
      <c r="AA71" s="355"/>
      <c r="AB71" s="355"/>
      <c r="AC71" s="355"/>
      <c r="AD71" s="355"/>
      <c r="AE71" s="355"/>
      <c r="AF71" s="355"/>
      <c r="AG71" s="355"/>
      <c r="AH71" s="355"/>
    </row>
    <row r="72" spans="1:34" x14ac:dyDescent="0.2">
      <c r="A72" s="355"/>
      <c r="B72" s="500"/>
      <c r="C72" s="566"/>
      <c r="D72" s="566"/>
      <c r="E72" s="566"/>
      <c r="F72" s="566"/>
      <c r="G72" s="566"/>
      <c r="H72" s="566"/>
      <c r="I72" s="566"/>
      <c r="J72" s="640"/>
      <c r="K72" s="387"/>
      <c r="L72" s="387"/>
      <c r="M72" s="387"/>
      <c r="N72" s="501"/>
      <c r="O72" s="355"/>
      <c r="P72" s="570"/>
      <c r="Q72" s="570"/>
      <c r="R72" s="1202"/>
      <c r="S72" s="355"/>
      <c r="T72" s="355"/>
      <c r="U72" s="355"/>
      <c r="V72" s="355"/>
      <c r="W72" s="355"/>
      <c r="X72" s="355"/>
      <c r="Y72" s="355"/>
      <c r="Z72" s="355"/>
      <c r="AA72" s="355"/>
      <c r="AB72" s="355"/>
      <c r="AC72" s="355"/>
      <c r="AD72" s="355"/>
      <c r="AE72" s="355"/>
      <c r="AF72" s="355"/>
      <c r="AG72" s="355"/>
      <c r="AH72" s="355"/>
    </row>
    <row r="73" spans="1:34" ht="25.5" customHeight="1" x14ac:dyDescent="0.2">
      <c r="A73" s="355"/>
      <c r="B73" s="500"/>
      <c r="C73" s="566"/>
      <c r="D73" s="677"/>
      <c r="E73" s="1227" t="s">
        <v>888</v>
      </c>
      <c r="F73" s="1227"/>
      <c r="G73" s="1227"/>
      <c r="H73" s="1227"/>
      <c r="I73" s="1227"/>
      <c r="J73" s="1228"/>
      <c r="K73" s="1223">
        <v>0</v>
      </c>
      <c r="L73" s="1224"/>
      <c r="M73" s="387"/>
      <c r="N73" s="501"/>
      <c r="O73" s="355"/>
      <c r="P73" s="570"/>
      <c r="Q73" s="570"/>
      <c r="R73" s="1202"/>
      <c r="S73" s="355"/>
      <c r="T73" s="355"/>
      <c r="U73" s="355"/>
      <c r="V73" s="355"/>
      <c r="W73" s="355"/>
      <c r="X73" s="355"/>
      <c r="Y73" s="355"/>
      <c r="Z73" s="355"/>
      <c r="AA73" s="355"/>
      <c r="AB73" s="355"/>
      <c r="AC73" s="355"/>
      <c r="AD73" s="355"/>
      <c r="AE73" s="355"/>
      <c r="AF73" s="355"/>
      <c r="AG73" s="355"/>
      <c r="AH73" s="355"/>
    </row>
    <row r="74" spans="1:34" ht="13.5" thickBot="1" x14ac:dyDescent="0.25">
      <c r="A74" s="355"/>
      <c r="B74" s="500"/>
      <c r="C74" s="566"/>
      <c r="D74" s="566"/>
      <c r="E74" s="566"/>
      <c r="F74" s="566"/>
      <c r="G74" s="566"/>
      <c r="H74" s="566"/>
      <c r="I74" s="566"/>
      <c r="J74" s="640"/>
      <c r="K74" s="640"/>
      <c r="L74" s="640"/>
      <c r="M74" s="387"/>
      <c r="N74" s="501"/>
      <c r="O74" s="355"/>
      <c r="P74" s="570"/>
      <c r="Q74" s="570"/>
      <c r="R74" s="1202"/>
      <c r="S74" s="355"/>
      <c r="T74" s="355"/>
      <c r="U74" s="355"/>
      <c r="V74" s="355"/>
      <c r="W74" s="355"/>
      <c r="X74" s="355"/>
      <c r="Y74" s="355"/>
      <c r="Z74" s="355"/>
      <c r="AA74" s="355"/>
      <c r="AB74" s="355"/>
      <c r="AC74" s="355"/>
      <c r="AD74" s="355"/>
      <c r="AE74" s="355"/>
      <c r="AF74" s="355"/>
      <c r="AG74" s="355"/>
      <c r="AH74" s="355"/>
    </row>
    <row r="75" spans="1:34" s="505" customFormat="1" ht="17.25" customHeight="1" thickBot="1" x14ac:dyDescent="0.25">
      <c r="A75" s="502"/>
      <c r="B75" s="503"/>
      <c r="C75" s="675"/>
      <c r="D75" s="678"/>
      <c r="E75" s="678"/>
      <c r="F75" s="678"/>
      <c r="G75" s="678"/>
      <c r="H75" s="678"/>
      <c r="I75" s="678"/>
      <c r="J75" s="676" t="s">
        <v>887</v>
      </c>
      <c r="K75" s="1225">
        <f>ROUND(IF(K71-K73&gt;0,K71-K73,0),0)</f>
        <v>9157</v>
      </c>
      <c r="L75" s="1226"/>
      <c r="M75" s="538"/>
      <c r="N75" s="668"/>
      <c r="O75" s="502"/>
      <c r="P75" s="679"/>
      <c r="Q75" s="679"/>
      <c r="R75" s="502"/>
      <c r="S75" s="502"/>
      <c r="T75" s="502"/>
      <c r="U75" s="502"/>
      <c r="V75" s="502"/>
      <c r="W75" s="502"/>
      <c r="X75" s="502"/>
      <c r="Y75" s="502"/>
      <c r="Z75" s="502"/>
      <c r="AA75" s="502"/>
      <c r="AB75" s="502"/>
      <c r="AC75" s="502"/>
      <c r="AD75" s="502"/>
      <c r="AE75" s="502"/>
      <c r="AF75" s="502"/>
      <c r="AG75" s="502"/>
      <c r="AH75" s="502"/>
    </row>
    <row r="76" spans="1:34" x14ac:dyDescent="0.2">
      <c r="A76" s="355"/>
      <c r="B76" s="513"/>
      <c r="C76" s="487"/>
      <c r="D76" s="487"/>
      <c r="E76" s="487"/>
      <c r="F76" s="487"/>
      <c r="G76" s="487"/>
      <c r="H76" s="487"/>
      <c r="I76" s="487"/>
      <c r="J76" s="487"/>
      <c r="K76" s="487"/>
      <c r="L76" s="487"/>
      <c r="M76" s="487"/>
      <c r="N76" s="515"/>
      <c r="O76" s="355"/>
      <c r="P76" s="570"/>
      <c r="Q76" s="570"/>
      <c r="R76" s="355"/>
      <c r="S76" s="355"/>
      <c r="T76" s="355"/>
      <c r="U76" s="355"/>
      <c r="V76" s="355"/>
      <c r="W76" s="355"/>
      <c r="X76" s="355"/>
      <c r="Y76" s="355"/>
      <c r="Z76" s="355"/>
      <c r="AA76" s="355"/>
      <c r="AB76" s="355"/>
      <c r="AC76" s="355"/>
      <c r="AD76" s="355"/>
      <c r="AE76" s="355"/>
      <c r="AF76" s="355"/>
      <c r="AG76" s="355"/>
      <c r="AH76" s="355"/>
    </row>
    <row r="77" spans="1:34" x14ac:dyDescent="0.2">
      <c r="A77" s="355"/>
      <c r="B77" s="355"/>
      <c r="C77" s="355"/>
      <c r="D77" s="355"/>
      <c r="E77" s="355"/>
      <c r="F77" s="355"/>
      <c r="G77" s="355"/>
      <c r="H77" s="355"/>
      <c r="I77" s="355"/>
      <c r="J77" s="355"/>
      <c r="K77" s="355"/>
      <c r="L77" s="355"/>
      <c r="M77" s="355"/>
      <c r="N77" s="355"/>
      <c r="O77" s="355"/>
      <c r="R77" s="355"/>
      <c r="S77" s="355"/>
      <c r="T77" s="355"/>
      <c r="U77" s="355"/>
      <c r="V77" s="355"/>
      <c r="W77" s="355"/>
      <c r="X77" s="355"/>
      <c r="Y77" s="355"/>
      <c r="Z77" s="355"/>
      <c r="AA77" s="355"/>
      <c r="AB77" s="355"/>
      <c r="AC77" s="355"/>
      <c r="AD77" s="355"/>
      <c r="AE77" s="355"/>
      <c r="AF77" s="355"/>
      <c r="AG77" s="355"/>
      <c r="AH77" s="355"/>
    </row>
    <row r="78" spans="1:34" ht="23.25" customHeight="1" x14ac:dyDescent="0.25">
      <c r="A78" s="355"/>
      <c r="B78" s="498"/>
      <c r="C78" s="599" t="s">
        <v>852</v>
      </c>
      <c r="D78" s="489"/>
      <c r="E78" s="489"/>
      <c r="F78" s="489"/>
      <c r="G78" s="489"/>
      <c r="H78" s="489"/>
      <c r="I78" s="489"/>
      <c r="J78" s="489"/>
      <c r="K78" s="489"/>
      <c r="L78" s="489"/>
      <c r="M78" s="489"/>
      <c r="N78" s="499"/>
      <c r="O78" s="355"/>
      <c r="R78" s="355"/>
      <c r="S78" s="355"/>
      <c r="T78" s="355"/>
      <c r="U78" s="355"/>
      <c r="V78" s="355"/>
      <c r="W78" s="355"/>
      <c r="X78" s="355"/>
      <c r="Y78" s="355"/>
      <c r="Z78" s="355"/>
      <c r="AA78" s="355"/>
      <c r="AB78" s="355"/>
      <c r="AC78" s="355"/>
      <c r="AD78" s="355"/>
      <c r="AE78" s="355"/>
      <c r="AF78" s="355"/>
      <c r="AG78" s="355"/>
      <c r="AH78" s="355"/>
    </row>
    <row r="79" spans="1:34" x14ac:dyDescent="0.2">
      <c r="A79" s="355"/>
      <c r="B79" s="500"/>
      <c r="C79" s="387"/>
      <c r="D79" s="387"/>
      <c r="E79" s="387"/>
      <c r="F79" s="387"/>
      <c r="G79" s="387"/>
      <c r="H79" s="387"/>
      <c r="I79" s="387"/>
      <c r="J79" s="387"/>
      <c r="K79" s="387"/>
      <c r="L79" s="387"/>
      <c r="M79" s="387"/>
      <c r="N79" s="501"/>
      <c r="O79" s="355"/>
      <c r="R79" s="355"/>
      <c r="S79" s="355"/>
      <c r="T79" s="355"/>
      <c r="U79" s="355"/>
      <c r="V79" s="355"/>
      <c r="W79" s="355"/>
      <c r="X79" s="355"/>
      <c r="Y79" s="355"/>
      <c r="Z79" s="355"/>
      <c r="AA79" s="355"/>
      <c r="AB79" s="355"/>
      <c r="AC79" s="355"/>
      <c r="AD79" s="355"/>
      <c r="AE79" s="355"/>
      <c r="AF79" s="355"/>
      <c r="AG79" s="355"/>
      <c r="AH79" s="355"/>
    </row>
    <row r="80" spans="1:34" x14ac:dyDescent="0.2">
      <c r="A80" s="355"/>
      <c r="B80" s="500"/>
      <c r="C80" s="600" t="s">
        <v>825</v>
      </c>
      <c r="D80" s="387"/>
      <c r="E80" s="387"/>
      <c r="F80" s="387"/>
      <c r="G80" s="387"/>
      <c r="H80" s="387"/>
      <c r="I80" s="387"/>
      <c r="J80" s="387"/>
      <c r="K80" s="387"/>
      <c r="L80" s="601" t="s">
        <v>704</v>
      </c>
      <c r="M80" s="602" t="s">
        <v>531</v>
      </c>
      <c r="N80" s="501"/>
      <c r="O80" s="355"/>
      <c r="R80" s="355"/>
      <c r="S80" s="355"/>
      <c r="T80" s="355"/>
      <c r="U80" s="355"/>
      <c r="V80" s="355"/>
      <c r="W80" s="355"/>
      <c r="X80" s="355"/>
      <c r="Y80" s="355"/>
      <c r="Z80" s="355"/>
      <c r="AA80" s="355"/>
      <c r="AB80" s="355"/>
      <c r="AC80" s="355"/>
      <c r="AD80" s="355"/>
      <c r="AE80" s="355"/>
      <c r="AF80" s="355"/>
      <c r="AG80" s="355"/>
      <c r="AH80" s="355"/>
    </row>
    <row r="81" spans="1:34" x14ac:dyDescent="0.2">
      <c r="A81" s="355"/>
      <c r="B81" s="500"/>
      <c r="C81" s="387"/>
      <c r="D81" s="695"/>
      <c r="E81" s="604"/>
      <c r="F81" s="387"/>
      <c r="G81" s="387"/>
      <c r="H81" s="387"/>
      <c r="I81" s="387"/>
      <c r="J81" s="695"/>
      <c r="K81" s="695" t="str">
        <f>"Number of Reception pupils that had a school meal on census day (October "&amp;'Fin.Yr Lookups'!A14&amp;")  "</f>
        <v xml:space="preserve">Number of Reception pupils that had a school meal on census day (October 2019)  </v>
      </c>
      <c r="L81" s="595">
        <v>10</v>
      </c>
      <c r="M81" s="387"/>
      <c r="N81" s="501"/>
      <c r="O81" s="355"/>
      <c r="R81" s="355"/>
      <c r="S81" s="355"/>
      <c r="T81" s="355"/>
      <c r="U81" s="355"/>
      <c r="V81" s="355"/>
      <c r="W81" s="355"/>
      <c r="X81" s="355"/>
      <c r="Y81" s="355"/>
      <c r="Z81" s="355"/>
      <c r="AA81" s="355"/>
      <c r="AB81" s="355"/>
      <c r="AC81" s="355"/>
      <c r="AD81" s="355"/>
      <c r="AE81" s="355"/>
      <c r="AF81" s="355"/>
      <c r="AG81" s="355"/>
      <c r="AH81" s="355"/>
    </row>
    <row r="82" spans="1:34" x14ac:dyDescent="0.2">
      <c r="A82" s="355"/>
      <c r="B82" s="500"/>
      <c r="C82" s="387"/>
      <c r="D82" s="695"/>
      <c r="E82" s="600"/>
      <c r="F82" s="387"/>
      <c r="G82" s="387"/>
      <c r="H82" s="387"/>
      <c r="I82" s="387"/>
      <c r="J82" s="695"/>
      <c r="K82" s="695" t="str">
        <f>"Number of Reception pupils that had a school meal on census day (January "&amp;'Fin.Yr Lookups'!A15&amp;")  "</f>
        <v xml:space="preserve">Number of Reception pupils that had a school meal on census day (January 2020)  </v>
      </c>
      <c r="L82" s="595">
        <v>9</v>
      </c>
      <c r="M82" s="387"/>
      <c r="N82" s="501"/>
      <c r="O82" s="355"/>
      <c r="R82" s="355"/>
      <c r="S82" s="355"/>
      <c r="T82" s="355"/>
      <c r="U82" s="355"/>
      <c r="V82" s="355"/>
      <c r="W82" s="355"/>
      <c r="X82" s="355"/>
      <c r="Y82" s="355"/>
      <c r="Z82" s="355"/>
      <c r="AA82" s="355"/>
      <c r="AB82" s="355"/>
      <c r="AC82" s="355"/>
      <c r="AD82" s="355"/>
      <c r="AE82" s="355"/>
      <c r="AF82" s="355"/>
      <c r="AG82" s="355"/>
      <c r="AH82" s="355"/>
    </row>
    <row r="83" spans="1:34" x14ac:dyDescent="0.2">
      <c r="A83" s="355"/>
      <c r="B83" s="500"/>
      <c r="C83" s="387"/>
      <c r="D83" s="695"/>
      <c r="E83" s="600"/>
      <c r="F83" s="387"/>
      <c r="G83" s="387"/>
      <c r="H83" s="387"/>
      <c r="I83" s="387"/>
      <c r="J83" s="695"/>
      <c r="K83" s="944" t="s">
        <v>1006</v>
      </c>
      <c r="L83" s="797">
        <f>(L81+L82)/2</f>
        <v>9.5</v>
      </c>
      <c r="M83" s="387"/>
      <c r="N83" s="501"/>
      <c r="O83" s="355"/>
      <c r="R83" s="355"/>
      <c r="S83" s="355"/>
      <c r="T83" s="355"/>
      <c r="U83" s="355"/>
      <c r="V83" s="355"/>
      <c r="W83" s="355"/>
      <c r="X83" s="355"/>
      <c r="Y83" s="355"/>
      <c r="Z83" s="355"/>
      <c r="AA83" s="355"/>
      <c r="AB83" s="355"/>
      <c r="AC83" s="355"/>
      <c r="AD83" s="355"/>
      <c r="AE83" s="355"/>
      <c r="AF83" s="355"/>
      <c r="AG83" s="355"/>
      <c r="AH83" s="355"/>
    </row>
    <row r="84" spans="1:34" ht="6" customHeight="1" x14ac:dyDescent="0.2">
      <c r="A84" s="355"/>
      <c r="B84" s="500"/>
      <c r="C84" s="387"/>
      <c r="D84" s="695"/>
      <c r="E84" s="600"/>
      <c r="F84" s="387"/>
      <c r="G84" s="387"/>
      <c r="H84" s="387"/>
      <c r="I84" s="387"/>
      <c r="J84" s="695"/>
      <c r="K84" s="695"/>
      <c r="L84" s="387"/>
      <c r="M84" s="387"/>
      <c r="N84" s="501"/>
      <c r="O84" s="355"/>
      <c r="R84" s="355"/>
      <c r="S84" s="355"/>
      <c r="T84" s="355"/>
      <c r="U84" s="355"/>
      <c r="V84" s="355"/>
      <c r="W84" s="355"/>
      <c r="X84" s="355"/>
      <c r="Y84" s="355"/>
      <c r="Z84" s="355"/>
      <c r="AA84" s="355"/>
      <c r="AB84" s="355"/>
      <c r="AC84" s="355"/>
      <c r="AD84" s="355"/>
      <c r="AE84" s="355"/>
      <c r="AF84" s="355"/>
      <c r="AG84" s="355"/>
      <c r="AH84" s="355"/>
    </row>
    <row r="85" spans="1:34" x14ac:dyDescent="0.2">
      <c r="A85" s="355"/>
      <c r="B85" s="500"/>
      <c r="C85" s="387"/>
      <c r="D85" s="695"/>
      <c r="E85" s="604"/>
      <c r="F85" s="387"/>
      <c r="G85" s="387"/>
      <c r="H85" s="387"/>
      <c r="I85" s="387"/>
      <c r="J85" s="695"/>
      <c r="K85" s="695" t="str">
        <f>"Number of Year 1 &amp; 2 pupils that had a school meal on census day (October "&amp;'Fin.Yr Lookups'!A14&amp;")  "</f>
        <v xml:space="preserve">Number of Year 1 &amp; 2 pupils that had a school meal on census day (October 2019)  </v>
      </c>
      <c r="L85" s="595">
        <v>20</v>
      </c>
      <c r="M85" s="387"/>
      <c r="N85" s="501"/>
      <c r="O85" s="355"/>
      <c r="R85" s="355"/>
      <c r="S85" s="355"/>
      <c r="T85" s="355"/>
      <c r="U85" s="355"/>
      <c r="V85" s="355"/>
      <c r="W85" s="355"/>
      <c r="X85" s="355"/>
      <c r="Y85" s="355"/>
      <c r="Z85" s="355"/>
      <c r="AA85" s="355"/>
      <c r="AB85" s="355"/>
      <c r="AC85" s="355"/>
      <c r="AD85" s="355"/>
      <c r="AE85" s="355"/>
      <c r="AF85" s="355"/>
      <c r="AG85" s="355"/>
      <c r="AH85" s="355"/>
    </row>
    <row r="86" spans="1:34" x14ac:dyDescent="0.2">
      <c r="A86" s="355"/>
      <c r="B86" s="500"/>
      <c r="C86" s="387"/>
      <c r="D86" s="695"/>
      <c r="E86" s="387"/>
      <c r="F86" s="387"/>
      <c r="G86" s="387"/>
      <c r="H86" s="387"/>
      <c r="I86" s="387"/>
      <c r="J86" s="695"/>
      <c r="K86" s="695" t="str">
        <f>"Number of Year 1 &amp; 2 pupils that had a school meal on census day (January "&amp;'Fin.Yr Lookups'!A15&amp;")  "</f>
        <v xml:space="preserve">Number of Year 1 &amp; 2 pupils that had a school meal on census day (January 2020)  </v>
      </c>
      <c r="L86" s="595">
        <v>23</v>
      </c>
      <c r="M86" s="387"/>
      <c r="N86" s="501"/>
      <c r="O86" s="355"/>
      <c r="R86" s="355"/>
      <c r="S86" s="355"/>
      <c r="T86" s="355"/>
      <c r="U86" s="355"/>
      <c r="V86" s="355"/>
      <c r="W86" s="355"/>
      <c r="X86" s="355"/>
      <c r="Y86" s="355"/>
      <c r="Z86" s="355"/>
      <c r="AA86" s="355"/>
      <c r="AB86" s="355"/>
      <c r="AC86" s="355"/>
      <c r="AD86" s="355"/>
      <c r="AE86" s="355"/>
      <c r="AF86" s="355"/>
      <c r="AG86" s="355"/>
      <c r="AH86" s="355"/>
    </row>
    <row r="87" spans="1:34" x14ac:dyDescent="0.2">
      <c r="A87" s="355"/>
      <c r="B87" s="500"/>
      <c r="C87" s="387"/>
      <c r="D87" s="695"/>
      <c r="E87" s="387"/>
      <c r="F87" s="387"/>
      <c r="G87" s="387"/>
      <c r="H87" s="387"/>
      <c r="I87" s="387"/>
      <c r="J87" s="695"/>
      <c r="K87" s="695" t="s">
        <v>918</v>
      </c>
      <c r="L87" s="797">
        <f>(L85+L86)/2</f>
        <v>21.5</v>
      </c>
      <c r="M87" s="387"/>
      <c r="N87" s="501"/>
      <c r="O87" s="355"/>
      <c r="R87" s="355"/>
      <c r="S87" s="355"/>
      <c r="T87" s="355"/>
      <c r="U87" s="355"/>
      <c r="V87" s="355"/>
      <c r="W87" s="355"/>
      <c r="X87" s="355"/>
      <c r="Y87" s="355"/>
      <c r="Z87" s="355"/>
      <c r="AA87" s="355"/>
      <c r="AB87" s="355"/>
      <c r="AC87" s="355"/>
      <c r="AD87" s="355"/>
      <c r="AE87" s="355"/>
      <c r="AF87" s="355"/>
      <c r="AG87" s="355"/>
      <c r="AH87" s="355"/>
    </row>
    <row r="88" spans="1:34" ht="7.5" customHeight="1" x14ac:dyDescent="0.2">
      <c r="A88" s="355"/>
      <c r="B88" s="500"/>
      <c r="C88" s="387"/>
      <c r="D88" s="695"/>
      <c r="E88" s="387"/>
      <c r="F88" s="387"/>
      <c r="G88" s="387"/>
      <c r="H88" s="387"/>
      <c r="I88" s="387"/>
      <c r="J88" s="695"/>
      <c r="K88" s="387"/>
      <c r="L88" s="387"/>
      <c r="M88" s="387"/>
      <c r="N88" s="501"/>
      <c r="O88" s="355"/>
      <c r="R88" s="355"/>
      <c r="S88" s="355"/>
      <c r="T88" s="355"/>
      <c r="U88" s="355"/>
      <c r="V88" s="355"/>
      <c r="W88" s="355"/>
      <c r="X88" s="355"/>
      <c r="Y88" s="355"/>
      <c r="Z88" s="355"/>
      <c r="AA88" s="355"/>
      <c r="AB88" s="355"/>
      <c r="AC88" s="355"/>
      <c r="AD88" s="355"/>
      <c r="AE88" s="355"/>
      <c r="AF88" s="355"/>
      <c r="AG88" s="355"/>
      <c r="AH88" s="355"/>
    </row>
    <row r="89" spans="1:34" x14ac:dyDescent="0.2">
      <c r="A89" s="355"/>
      <c r="B89" s="500"/>
      <c r="C89" s="387"/>
      <c r="D89" s="566"/>
      <c r="E89" s="387"/>
      <c r="F89" s="387"/>
      <c r="G89" s="387"/>
      <c r="H89" s="387"/>
      <c r="I89" s="387"/>
      <c r="J89" s="387"/>
      <c r="K89" s="695" t="s">
        <v>919</v>
      </c>
      <c r="L89" s="597">
        <f>L83+L87</f>
        <v>31</v>
      </c>
      <c r="M89" s="387"/>
      <c r="N89" s="501"/>
      <c r="O89" s="355"/>
      <c r="R89" s="355"/>
      <c r="S89" s="355"/>
      <c r="T89" s="355"/>
      <c r="U89" s="355"/>
      <c r="V89" s="355"/>
      <c r="W89" s="355"/>
      <c r="X89" s="355"/>
      <c r="Y89" s="355"/>
      <c r="Z89" s="355"/>
      <c r="AA89" s="355"/>
      <c r="AB89" s="355"/>
      <c r="AC89" s="355"/>
      <c r="AD89" s="355"/>
      <c r="AE89" s="355"/>
      <c r="AF89" s="355"/>
      <c r="AG89" s="355"/>
      <c r="AH89" s="355"/>
    </row>
    <row r="90" spans="1:34" ht="6" customHeight="1" x14ac:dyDescent="0.2">
      <c r="A90" s="355"/>
      <c r="B90" s="500"/>
      <c r="C90" s="387"/>
      <c r="D90" s="566"/>
      <c r="E90" s="387"/>
      <c r="F90" s="387"/>
      <c r="G90" s="387"/>
      <c r="H90" s="387"/>
      <c r="I90" s="387"/>
      <c r="J90" s="387"/>
      <c r="K90" s="387"/>
      <c r="L90" s="387"/>
      <c r="M90" s="387"/>
      <c r="N90" s="501"/>
      <c r="O90" s="355"/>
      <c r="R90" s="355"/>
      <c r="S90" s="355"/>
      <c r="T90" s="355"/>
      <c r="U90" s="355"/>
      <c r="V90" s="355"/>
      <c r="W90" s="355"/>
      <c r="X90" s="355"/>
      <c r="Y90" s="355"/>
      <c r="Z90" s="355"/>
      <c r="AA90" s="355"/>
      <c r="AB90" s="355"/>
      <c r="AC90" s="355"/>
      <c r="AD90" s="355"/>
      <c r="AE90" s="355"/>
      <c r="AF90" s="355"/>
      <c r="AG90" s="355"/>
      <c r="AH90" s="355"/>
    </row>
    <row r="91" spans="1:34" x14ac:dyDescent="0.2">
      <c r="A91" s="355"/>
      <c r="B91" s="500"/>
      <c r="C91" s="387"/>
      <c r="D91" s="387"/>
      <c r="E91" s="387"/>
      <c r="F91" s="387"/>
      <c r="G91" s="387"/>
      <c r="H91" s="387"/>
      <c r="I91" s="387"/>
      <c r="J91" s="387"/>
      <c r="K91" s="603" t="str">
        <f>"Final calculation of funding due for the "&amp;'Fin.Yr Lookups'!A16&amp;" academic year (September "&amp;'Fin.Yr Lookups'!A14&amp;" - August "&amp;'Fin.Yr Lookups'!A15&amp;")"</f>
        <v>Final calculation of funding due for the 2019-20 academic year (September 2019 - August 2020)</v>
      </c>
      <c r="L91" s="387"/>
      <c r="M91" s="606">
        <f>ROUND(L89*2.3*190,0)</f>
        <v>13547</v>
      </c>
      <c r="N91" s="501"/>
      <c r="O91" s="355"/>
      <c r="R91" s="355"/>
      <c r="S91" s="355"/>
      <c r="T91" s="355"/>
      <c r="U91" s="355"/>
      <c r="V91" s="355"/>
      <c r="W91" s="355"/>
      <c r="X91" s="355"/>
      <c r="Y91" s="355"/>
      <c r="Z91" s="355"/>
      <c r="AA91" s="355"/>
      <c r="AB91" s="355"/>
      <c r="AC91" s="355"/>
      <c r="AD91" s="355"/>
      <c r="AE91" s="355"/>
      <c r="AF91" s="355"/>
      <c r="AG91" s="355"/>
      <c r="AH91" s="355"/>
    </row>
    <row r="92" spans="1:34" ht="6" customHeight="1" x14ac:dyDescent="0.2">
      <c r="A92" s="355"/>
      <c r="B92" s="500"/>
      <c r="C92" s="387"/>
      <c r="D92" s="387"/>
      <c r="E92" s="387"/>
      <c r="F92" s="387"/>
      <c r="G92" s="387"/>
      <c r="H92" s="387"/>
      <c r="I92" s="387"/>
      <c r="J92" s="387"/>
      <c r="K92" s="603"/>
      <c r="L92" s="387"/>
      <c r="M92" s="530"/>
      <c r="N92" s="501"/>
      <c r="O92" s="355"/>
      <c r="R92" s="355"/>
      <c r="S92" s="355"/>
      <c r="T92" s="355"/>
      <c r="U92" s="355"/>
      <c r="V92" s="355"/>
      <c r="W92" s="355"/>
      <c r="X92" s="355"/>
      <c r="Y92" s="355"/>
      <c r="Z92" s="355"/>
      <c r="AA92" s="355"/>
      <c r="AB92" s="355"/>
      <c r="AC92" s="355"/>
      <c r="AD92" s="355"/>
      <c r="AE92" s="355"/>
      <c r="AF92" s="355"/>
      <c r="AG92" s="355"/>
      <c r="AH92" s="355"/>
    </row>
    <row r="93" spans="1:34" x14ac:dyDescent="0.2">
      <c r="A93" s="355"/>
      <c r="B93" s="500"/>
      <c r="C93" s="387"/>
      <c r="D93" s="387"/>
      <c r="E93" s="387"/>
      <c r="F93" s="387"/>
      <c r="G93" s="387"/>
      <c r="H93" s="387"/>
      <c r="I93" s="387"/>
      <c r="J93" s="387"/>
      <c r="K93" s="603" t="str">
        <f>"Less Funding devolved in Summer term "&amp;'Fin.Yr Lookups'!A14</f>
        <v>Less Funding devolved in Summer term 2019</v>
      </c>
      <c r="L93" s="387"/>
      <c r="M93" s="606">
        <f>IF(ISNA(VLOOKUP(Income!E1,Lookup!A:I,9,FALSE)),0,VLOOKUP(Income!E1,Lookup!A:I,9,FALSE))</f>
        <v>8030</v>
      </c>
      <c r="N93" s="501"/>
      <c r="O93" s="355"/>
      <c r="R93" s="355"/>
      <c r="S93" s="355"/>
      <c r="T93" s="355"/>
      <c r="U93" s="355"/>
      <c r="V93" s="355"/>
      <c r="W93" s="355"/>
      <c r="X93" s="355"/>
      <c r="Y93" s="355"/>
      <c r="Z93" s="355"/>
      <c r="AA93" s="355"/>
      <c r="AB93" s="355"/>
      <c r="AC93" s="355"/>
      <c r="AD93" s="355"/>
      <c r="AE93" s="355"/>
      <c r="AF93" s="355"/>
      <c r="AG93" s="355"/>
      <c r="AH93" s="355"/>
    </row>
    <row r="94" spans="1:34" ht="6" customHeight="1" x14ac:dyDescent="0.2">
      <c r="A94" s="355"/>
      <c r="B94" s="500"/>
      <c r="C94" s="387"/>
      <c r="D94" s="566"/>
      <c r="E94" s="387"/>
      <c r="F94" s="387"/>
      <c r="G94" s="387"/>
      <c r="H94" s="387"/>
      <c r="I94" s="387"/>
      <c r="J94" s="387"/>
      <c r="K94" s="387"/>
      <c r="L94" s="387"/>
      <c r="M94" s="530"/>
      <c r="N94" s="501"/>
      <c r="O94" s="355"/>
      <c r="R94" s="355"/>
      <c r="S94" s="355"/>
      <c r="T94" s="355"/>
      <c r="U94" s="355"/>
      <c r="V94" s="355"/>
      <c r="W94" s="355"/>
      <c r="X94" s="355"/>
      <c r="Y94" s="355"/>
      <c r="Z94" s="355"/>
      <c r="AA94" s="355"/>
      <c r="AB94" s="355"/>
      <c r="AC94" s="355"/>
      <c r="AD94" s="355"/>
      <c r="AE94" s="355"/>
      <c r="AF94" s="355"/>
      <c r="AG94" s="355"/>
      <c r="AH94" s="355"/>
    </row>
    <row r="95" spans="1:34" x14ac:dyDescent="0.2">
      <c r="A95" s="355"/>
      <c r="B95" s="500"/>
      <c r="C95" s="387"/>
      <c r="D95" s="387"/>
      <c r="E95" s="387"/>
      <c r="F95" s="387"/>
      <c r="G95" s="387"/>
      <c r="H95" s="387"/>
      <c r="I95" s="387"/>
      <c r="J95" s="387"/>
      <c r="K95" s="604" t="str">
        <f>IF(M95&lt;0,"Funding to be clawed back in summer term","Funding due for the summer term")</f>
        <v>Funding due for the summer term</v>
      </c>
      <c r="L95" s="387"/>
      <c r="M95" s="607">
        <f>M91-M93</f>
        <v>5517</v>
      </c>
      <c r="N95" s="501"/>
      <c r="O95" s="355"/>
      <c r="R95" s="355"/>
      <c r="S95" s="355"/>
      <c r="T95" s="355"/>
      <c r="U95" s="355"/>
      <c r="V95" s="355"/>
      <c r="W95" s="355"/>
      <c r="X95" s="355"/>
      <c r="Y95" s="355"/>
      <c r="Z95" s="355"/>
      <c r="AA95" s="355"/>
      <c r="AB95" s="355"/>
      <c r="AC95" s="355"/>
      <c r="AD95" s="355"/>
      <c r="AE95" s="355"/>
      <c r="AF95" s="355"/>
      <c r="AG95" s="355"/>
      <c r="AH95" s="355"/>
    </row>
    <row r="96" spans="1:34" x14ac:dyDescent="0.2">
      <c r="A96" s="355"/>
      <c r="B96" s="500"/>
      <c r="C96" s="387"/>
      <c r="D96" s="387"/>
      <c r="E96" s="566"/>
      <c r="F96" s="387"/>
      <c r="G96" s="387"/>
      <c r="H96" s="387"/>
      <c r="I96" s="387"/>
      <c r="J96" s="387"/>
      <c r="K96" s="387"/>
      <c r="L96" s="387"/>
      <c r="M96" s="530"/>
      <c r="N96" s="501"/>
      <c r="O96" s="355"/>
      <c r="R96" s="355"/>
      <c r="S96" s="355"/>
      <c r="T96" s="355"/>
      <c r="U96" s="355"/>
      <c r="V96" s="355"/>
      <c r="W96" s="355"/>
      <c r="X96" s="355"/>
      <c r="Y96" s="355"/>
      <c r="Z96" s="355"/>
      <c r="AA96" s="355"/>
      <c r="AB96" s="355"/>
      <c r="AC96" s="355"/>
      <c r="AD96" s="355"/>
      <c r="AE96" s="355"/>
      <c r="AF96" s="355"/>
      <c r="AG96" s="355"/>
      <c r="AH96" s="355"/>
    </row>
    <row r="97" spans="1:34" x14ac:dyDescent="0.2">
      <c r="A97" s="355"/>
      <c r="B97" s="500"/>
      <c r="C97" s="600" t="s">
        <v>827</v>
      </c>
      <c r="D97" s="387"/>
      <c r="E97" s="387"/>
      <c r="F97" s="387"/>
      <c r="G97" s="387"/>
      <c r="H97" s="387"/>
      <c r="I97" s="387"/>
      <c r="J97" s="387"/>
      <c r="K97" s="387"/>
      <c r="L97" s="387"/>
      <c r="M97" s="530"/>
      <c r="N97" s="501"/>
      <c r="O97" s="355"/>
      <c r="R97" s="355"/>
      <c r="S97" s="355"/>
      <c r="T97" s="355"/>
      <c r="U97" s="355"/>
      <c r="V97" s="355"/>
      <c r="W97" s="355"/>
      <c r="X97" s="355"/>
      <c r="Y97" s="355"/>
      <c r="Z97" s="355"/>
      <c r="AA97" s="355"/>
      <c r="AB97" s="355"/>
      <c r="AC97" s="355"/>
      <c r="AD97" s="355"/>
      <c r="AE97" s="355"/>
      <c r="AF97" s="355"/>
      <c r="AG97" s="355"/>
      <c r="AH97" s="355"/>
    </row>
    <row r="98" spans="1:34" ht="12.75" customHeight="1" x14ac:dyDescent="0.2">
      <c r="A98" s="355"/>
      <c r="B98" s="500"/>
      <c r="C98" s="387"/>
      <c r="D98" s="1205" t="str">
        <f>"Provisional UIFSM Funding for September "&amp;'Fin.Yr Lookups'!A3&amp;" to March "&amp;'Fin.Yr Lookups'!A4
&amp;" (7/12ths of final allocation for "&amp;'Fin.Yr Lookups'!A16&amp;" academic year)"</f>
        <v>Provisional UIFSM Funding for September 2020 to March 2021 (7/12ths of final allocation for 2019-20 academic year)</v>
      </c>
      <c r="E98" s="1205"/>
      <c r="F98" s="1205"/>
      <c r="G98" s="1205"/>
      <c r="H98" s="1205"/>
      <c r="I98" s="626"/>
      <c r="J98" s="626"/>
      <c r="K98" s="626"/>
      <c r="L98" s="530"/>
      <c r="M98" s="1203">
        <f>ROUND(M91*7/12,0)</f>
        <v>7902</v>
      </c>
      <c r="N98" s="501"/>
      <c r="O98" s="355"/>
      <c r="R98" s="355"/>
      <c r="S98" s="355"/>
      <c r="T98" s="355"/>
      <c r="U98" s="355"/>
      <c r="V98" s="355"/>
      <c r="W98" s="355"/>
      <c r="X98" s="355"/>
      <c r="Y98" s="355"/>
      <c r="Z98" s="355"/>
      <c r="AA98" s="355"/>
      <c r="AB98" s="355"/>
      <c r="AC98" s="355"/>
      <c r="AD98" s="355"/>
      <c r="AE98" s="355"/>
      <c r="AF98" s="355"/>
      <c r="AG98" s="355"/>
      <c r="AH98" s="355"/>
    </row>
    <row r="99" spans="1:34" ht="12.75" customHeight="1" x14ac:dyDescent="0.2">
      <c r="A99" s="355"/>
      <c r="B99" s="500"/>
      <c r="C99" s="387"/>
      <c r="D99" s="1205"/>
      <c r="E99" s="1205"/>
      <c r="F99" s="1205"/>
      <c r="G99" s="1205"/>
      <c r="H99" s="1205"/>
      <c r="I99" s="626"/>
      <c r="J99" s="626"/>
      <c r="K99" s="626"/>
      <c r="L99" s="626"/>
      <c r="M99" s="1204"/>
      <c r="N99" s="501"/>
      <c r="O99" s="355"/>
      <c r="R99" s="355"/>
      <c r="S99" s="355"/>
      <c r="T99" s="355"/>
      <c r="U99" s="355"/>
      <c r="V99" s="355"/>
      <c r="W99" s="355"/>
      <c r="X99" s="355"/>
      <c r="Y99" s="355"/>
      <c r="Z99" s="355"/>
      <c r="AA99" s="355"/>
      <c r="AB99" s="355"/>
      <c r="AC99" s="355"/>
      <c r="AD99" s="355"/>
      <c r="AE99" s="355"/>
      <c r="AF99" s="355"/>
      <c r="AG99" s="355"/>
      <c r="AH99" s="355"/>
    </row>
    <row r="100" spans="1:34" ht="13.5" thickBot="1" x14ac:dyDescent="0.25">
      <c r="A100" s="355"/>
      <c r="B100" s="500"/>
      <c r="C100" s="387"/>
      <c r="D100" s="387"/>
      <c r="E100" s="387"/>
      <c r="F100" s="387"/>
      <c r="G100" s="387"/>
      <c r="H100" s="387"/>
      <c r="I100" s="387"/>
      <c r="J100" s="387"/>
      <c r="K100" s="387"/>
      <c r="L100" s="387"/>
      <c r="M100" s="530"/>
      <c r="N100" s="501"/>
      <c r="O100" s="355"/>
      <c r="R100" s="355"/>
      <c r="S100" s="355"/>
      <c r="T100" s="355"/>
      <c r="U100" s="355"/>
      <c r="V100" s="355"/>
      <c r="W100" s="355"/>
      <c r="X100" s="355"/>
      <c r="Y100" s="355"/>
      <c r="Z100" s="355"/>
      <c r="AA100" s="355"/>
      <c r="AB100" s="355"/>
      <c r="AC100" s="355"/>
      <c r="AD100" s="355"/>
      <c r="AE100" s="355"/>
      <c r="AF100" s="355"/>
      <c r="AG100" s="355"/>
      <c r="AH100" s="355"/>
    </row>
    <row r="101" spans="1:34" ht="13.5" thickBot="1" x14ac:dyDescent="0.25">
      <c r="A101" s="355"/>
      <c r="B101" s="500"/>
      <c r="C101" s="387"/>
      <c r="D101" s="387"/>
      <c r="E101" s="387"/>
      <c r="F101" s="387"/>
      <c r="G101" s="387"/>
      <c r="H101" s="387"/>
      <c r="I101" s="387"/>
      <c r="J101" s="387"/>
      <c r="K101" s="604" t="str">
        <f>"Total Estimated UIFSM Funding due in the "&amp;'Fin.Yr Lookups'!A5&amp;" Financial Year"</f>
        <v>Total Estimated UIFSM Funding due in the 2020-21 Financial Year</v>
      </c>
      <c r="L101" s="387"/>
      <c r="M101" s="608">
        <f>IF(ISERROR(M95+M98),0,ROUND(M95+M98,0))</f>
        <v>13419</v>
      </c>
      <c r="N101" s="501"/>
      <c r="O101" s="355"/>
      <c r="R101" s="355"/>
      <c r="S101" s="355"/>
      <c r="T101" s="355"/>
      <c r="U101" s="355"/>
      <c r="V101" s="355"/>
      <c r="W101" s="355"/>
      <c r="X101" s="355"/>
      <c r="Y101" s="355"/>
      <c r="Z101" s="355"/>
      <c r="AA101" s="355"/>
      <c r="AB101" s="355"/>
      <c r="AC101" s="355"/>
      <c r="AD101" s="355"/>
      <c r="AE101" s="355"/>
      <c r="AF101" s="355"/>
      <c r="AG101" s="355"/>
      <c r="AH101" s="355"/>
    </row>
    <row r="102" spans="1:34" x14ac:dyDescent="0.2">
      <c r="A102" s="355"/>
      <c r="B102" s="513"/>
      <c r="C102" s="487"/>
      <c r="D102" s="487"/>
      <c r="E102" s="487"/>
      <c r="F102" s="487"/>
      <c r="G102" s="487"/>
      <c r="H102" s="487"/>
      <c r="I102" s="487"/>
      <c r="J102" s="487"/>
      <c r="K102" s="605"/>
      <c r="L102" s="487"/>
      <c r="M102" s="487"/>
      <c r="N102" s="515"/>
      <c r="O102" s="355"/>
      <c r="R102" s="355"/>
      <c r="S102" s="355"/>
      <c r="T102" s="355"/>
      <c r="U102" s="355"/>
      <c r="V102" s="355"/>
      <c r="W102" s="355"/>
      <c r="X102" s="355"/>
      <c r="Y102" s="355"/>
      <c r="Z102" s="355"/>
      <c r="AA102" s="355"/>
      <c r="AB102" s="355"/>
      <c r="AC102" s="355"/>
      <c r="AD102" s="355"/>
      <c r="AE102" s="355"/>
      <c r="AF102" s="355"/>
      <c r="AG102" s="355"/>
      <c r="AH102" s="355"/>
    </row>
    <row r="103" spans="1:34" x14ac:dyDescent="0.2">
      <c r="A103" s="355"/>
      <c r="B103" s="355"/>
      <c r="C103" s="355"/>
      <c r="D103" s="355"/>
      <c r="E103" s="355"/>
      <c r="F103" s="355"/>
      <c r="G103" s="355"/>
      <c r="H103" s="355"/>
      <c r="I103" s="355"/>
      <c r="J103" s="355"/>
      <c r="K103" s="598"/>
      <c r="L103" s="355"/>
      <c r="M103" s="355"/>
      <c r="N103" s="355"/>
      <c r="O103" s="355"/>
      <c r="R103" s="355"/>
      <c r="S103" s="355"/>
      <c r="T103" s="355"/>
      <c r="U103" s="355"/>
      <c r="V103" s="355"/>
      <c r="W103" s="355"/>
      <c r="X103" s="355"/>
      <c r="Y103" s="355"/>
      <c r="Z103" s="355"/>
      <c r="AA103" s="355"/>
      <c r="AB103" s="355"/>
      <c r="AC103" s="355"/>
      <c r="AD103" s="355"/>
      <c r="AE103" s="355"/>
      <c r="AF103" s="355"/>
      <c r="AG103" s="355"/>
      <c r="AH103" s="355"/>
    </row>
    <row r="104" spans="1:34" x14ac:dyDescent="0.2">
      <c r="A104" s="355"/>
      <c r="B104" s="498"/>
      <c r="C104" s="489"/>
      <c r="D104" s="489"/>
      <c r="E104" s="489"/>
      <c r="F104" s="489"/>
      <c r="G104" s="489"/>
      <c r="H104" s="489"/>
      <c r="I104" s="489"/>
      <c r="J104" s="489"/>
      <c r="K104" s="489"/>
      <c r="L104" s="489"/>
      <c r="M104" s="489"/>
      <c r="N104" s="499"/>
      <c r="O104" s="355"/>
      <c r="R104" s="355"/>
      <c r="S104" s="355"/>
      <c r="T104" s="355"/>
      <c r="U104" s="355"/>
      <c r="V104" s="355"/>
      <c r="W104" s="355"/>
      <c r="X104" s="355"/>
      <c r="Y104" s="355"/>
      <c r="Z104" s="355"/>
      <c r="AA104" s="355"/>
      <c r="AB104" s="355"/>
      <c r="AC104" s="355"/>
      <c r="AD104" s="355"/>
      <c r="AE104" s="355"/>
      <c r="AF104" s="355"/>
      <c r="AG104" s="355"/>
      <c r="AH104" s="355"/>
    </row>
    <row r="105" spans="1:34" ht="18" x14ac:dyDescent="0.25">
      <c r="A105" s="355"/>
      <c r="B105" s="500"/>
      <c r="C105" s="491" t="s">
        <v>847</v>
      </c>
      <c r="D105" s="387"/>
      <c r="E105" s="387"/>
      <c r="F105" s="387"/>
      <c r="G105" s="387"/>
      <c r="H105" s="387"/>
      <c r="I105" s="387"/>
      <c r="J105" s="387"/>
      <c r="K105" s="387"/>
      <c r="L105" s="387"/>
      <c r="M105" s="387"/>
      <c r="N105" s="501"/>
      <c r="O105" s="355"/>
      <c r="R105" s="355"/>
      <c r="S105" s="355"/>
      <c r="T105" s="355"/>
      <c r="U105" s="355"/>
      <c r="V105" s="355"/>
      <c r="W105" s="355"/>
      <c r="X105" s="355"/>
      <c r="Y105" s="355"/>
      <c r="Z105" s="355"/>
      <c r="AA105" s="355"/>
      <c r="AB105" s="355"/>
      <c r="AC105" s="355"/>
      <c r="AD105" s="355"/>
      <c r="AE105" s="355"/>
      <c r="AF105" s="355"/>
      <c r="AG105" s="355"/>
      <c r="AH105" s="355"/>
    </row>
    <row r="106" spans="1:34" x14ac:dyDescent="0.2">
      <c r="A106" s="355"/>
      <c r="B106" s="500"/>
      <c r="C106" s="387"/>
      <c r="D106" s="387"/>
      <c r="E106" s="387"/>
      <c r="F106" s="387"/>
      <c r="G106" s="387"/>
      <c r="H106" s="387"/>
      <c r="I106" s="387"/>
      <c r="J106" s="387"/>
      <c r="K106" s="387"/>
      <c r="L106" s="387"/>
      <c r="M106" s="387"/>
      <c r="N106" s="501"/>
      <c r="O106" s="355"/>
      <c r="R106" s="355"/>
      <c r="S106" s="355"/>
      <c r="T106" s="355"/>
      <c r="U106" s="355"/>
      <c r="V106" s="355"/>
      <c r="W106" s="355"/>
      <c r="X106" s="355"/>
      <c r="Y106" s="355"/>
      <c r="Z106" s="355"/>
      <c r="AA106" s="355"/>
      <c r="AB106" s="355"/>
      <c r="AC106" s="355"/>
      <c r="AD106" s="355"/>
      <c r="AE106" s="355"/>
      <c r="AF106" s="355"/>
      <c r="AG106" s="355"/>
      <c r="AH106" s="355"/>
    </row>
    <row r="107" spans="1:34" x14ac:dyDescent="0.2">
      <c r="A107" s="355"/>
      <c r="B107" s="500"/>
      <c r="C107" s="1248" t="s">
        <v>825</v>
      </c>
      <c r="D107" s="566" t="str">
        <f>"Number of primary pupils on roll (excluding Reception) as shown on the January "&amp;'Fin.Yr Lookups'!A14&amp;" census"</f>
        <v>Number of primary pupils on roll (excluding Reception) as shown on the January 2019 census</v>
      </c>
      <c r="E107" s="387"/>
      <c r="F107" s="387"/>
      <c r="G107" s="387"/>
      <c r="H107" s="387"/>
      <c r="I107" s="387"/>
      <c r="J107" s="387"/>
      <c r="K107" s="387"/>
      <c r="L107" s="595">
        <v>73</v>
      </c>
      <c r="M107" s="387"/>
      <c r="N107" s="501"/>
      <c r="O107" s="355"/>
      <c r="R107" s="355"/>
      <c r="S107" s="355"/>
      <c r="T107" s="355"/>
      <c r="U107" s="355"/>
      <c r="V107" s="355"/>
      <c r="W107" s="355"/>
      <c r="X107" s="355"/>
      <c r="Y107" s="355"/>
      <c r="Z107" s="355"/>
      <c r="AA107" s="355"/>
      <c r="AB107" s="355"/>
      <c r="AC107" s="355"/>
      <c r="AD107" s="355"/>
      <c r="AE107" s="355"/>
      <c r="AF107" s="355"/>
      <c r="AG107" s="355"/>
      <c r="AH107" s="355"/>
    </row>
    <row r="108" spans="1:34" x14ac:dyDescent="0.2">
      <c r="A108" s="355"/>
      <c r="B108" s="500"/>
      <c r="C108" s="1248"/>
      <c r="D108" s="387"/>
      <c r="E108" s="387"/>
      <c r="F108" s="387"/>
      <c r="G108" s="387"/>
      <c r="H108" s="387"/>
      <c r="I108" s="387"/>
      <c r="J108" s="387"/>
      <c r="K108" s="387"/>
      <c r="L108" s="387"/>
      <c r="M108" s="387"/>
      <c r="N108" s="501"/>
      <c r="O108" s="355"/>
      <c r="R108" s="355"/>
      <c r="S108" s="355"/>
      <c r="T108" s="355"/>
      <c r="U108" s="355"/>
      <c r="V108" s="355"/>
      <c r="W108" s="355"/>
      <c r="X108" s="355"/>
      <c r="Y108" s="355"/>
      <c r="Z108" s="355"/>
      <c r="AA108" s="355"/>
      <c r="AB108" s="355"/>
      <c r="AC108" s="355"/>
      <c r="AD108" s="355"/>
      <c r="AE108" s="355"/>
      <c r="AF108" s="355"/>
      <c r="AG108" s="355"/>
      <c r="AH108" s="355"/>
    </row>
    <row r="109" spans="1:34" x14ac:dyDescent="0.2">
      <c r="A109" s="355"/>
      <c r="B109" s="500"/>
      <c r="C109" s="387"/>
      <c r="D109" s="387"/>
      <c r="E109" s="387"/>
      <c r="F109" s="387"/>
      <c r="G109" s="387"/>
      <c r="H109" s="387"/>
      <c r="I109" s="387"/>
      <c r="J109" s="387"/>
      <c r="K109" s="603" t="str">
        <f>"PE &amp; Sport Grant Funding due for April to August "&amp;'Fin.Yr Lookups'!A15</f>
        <v>PE &amp; Sport Grant Funding due for April to August 2020</v>
      </c>
      <c r="L109" s="387"/>
      <c r="M109" s="597">
        <f>ROUND(IF(L107&lt;17,L107*1000,(16000+(L107*10)))*5/12,0)</f>
        <v>6971</v>
      </c>
      <c r="N109" s="501"/>
      <c r="O109" s="355"/>
      <c r="R109" s="355"/>
      <c r="S109" s="355"/>
      <c r="T109" s="355"/>
      <c r="U109" s="355"/>
      <c r="V109" s="355"/>
      <c r="W109" s="355"/>
      <c r="X109" s="355"/>
      <c r="Y109" s="355"/>
      <c r="Z109" s="355"/>
      <c r="AA109" s="355"/>
      <c r="AB109" s="355"/>
      <c r="AC109" s="355"/>
      <c r="AD109" s="355"/>
      <c r="AE109" s="355"/>
      <c r="AF109" s="355"/>
      <c r="AG109" s="355"/>
      <c r="AH109" s="355"/>
    </row>
    <row r="110" spans="1:34" x14ac:dyDescent="0.2">
      <c r="A110" s="355"/>
      <c r="B110" s="500"/>
      <c r="C110" s="387"/>
      <c r="D110" s="387"/>
      <c r="E110" s="387"/>
      <c r="F110" s="387"/>
      <c r="G110" s="387"/>
      <c r="H110" s="387"/>
      <c r="I110" s="387"/>
      <c r="J110" s="387"/>
      <c r="K110" s="387"/>
      <c r="L110" s="387"/>
      <c r="M110" s="387"/>
      <c r="N110" s="501"/>
      <c r="O110" s="355"/>
      <c r="R110" s="355"/>
      <c r="S110" s="355"/>
      <c r="T110" s="355"/>
      <c r="U110" s="355"/>
      <c r="V110" s="355"/>
      <c r="W110" s="355"/>
      <c r="X110" s="355"/>
      <c r="Y110" s="355"/>
      <c r="Z110" s="355"/>
      <c r="AA110" s="355"/>
      <c r="AB110" s="355"/>
      <c r="AC110" s="355"/>
      <c r="AD110" s="355"/>
      <c r="AE110" s="355"/>
      <c r="AF110" s="355"/>
      <c r="AG110" s="355"/>
      <c r="AH110" s="355"/>
    </row>
    <row r="111" spans="1:34" x14ac:dyDescent="0.2">
      <c r="A111" s="355"/>
      <c r="B111" s="500"/>
      <c r="C111" s="1248" t="s">
        <v>826</v>
      </c>
      <c r="D111" s="566" t="str">
        <f>"Number of primary pupils on roll (excluding Reception) as shown on the January "&amp;'Fin.Yr Lookups'!A3&amp;" census"</f>
        <v>Number of primary pupils on roll (excluding Reception) as shown on the January 2020 census</v>
      </c>
      <c r="E111" s="387"/>
      <c r="F111" s="387"/>
      <c r="G111" s="387"/>
      <c r="H111" s="387"/>
      <c r="I111" s="387"/>
      <c r="J111" s="387"/>
      <c r="K111" s="387"/>
      <c r="L111" s="595">
        <v>73</v>
      </c>
      <c r="M111" s="387"/>
      <c r="N111" s="501"/>
      <c r="O111" s="355"/>
      <c r="R111" s="355"/>
      <c r="S111" s="355"/>
      <c r="T111" s="355"/>
      <c r="U111" s="355"/>
      <c r="V111" s="355"/>
      <c r="W111" s="355"/>
      <c r="X111" s="355"/>
      <c r="Y111" s="355"/>
      <c r="Z111" s="355"/>
      <c r="AA111" s="355"/>
      <c r="AB111" s="355"/>
      <c r="AC111" s="355"/>
      <c r="AD111" s="355"/>
      <c r="AE111" s="355"/>
      <c r="AF111" s="355"/>
      <c r="AG111" s="355"/>
      <c r="AH111" s="355"/>
    </row>
    <row r="112" spans="1:34" x14ac:dyDescent="0.2">
      <c r="A112" s="355"/>
      <c r="B112" s="500"/>
      <c r="C112" s="1248"/>
      <c r="D112" s="387"/>
      <c r="E112" s="387"/>
      <c r="F112" s="387"/>
      <c r="G112" s="387"/>
      <c r="H112" s="387"/>
      <c r="I112" s="387"/>
      <c r="J112" s="387"/>
      <c r="K112" s="387"/>
      <c r="L112" s="387"/>
      <c r="M112" s="387"/>
      <c r="N112" s="501"/>
      <c r="O112" s="355"/>
      <c r="R112" s="355"/>
      <c r="S112" s="355"/>
      <c r="T112" s="355"/>
      <c r="U112" s="355"/>
      <c r="V112" s="355"/>
      <c r="W112" s="355"/>
      <c r="X112" s="355"/>
      <c r="Y112" s="355"/>
      <c r="Z112" s="355"/>
      <c r="AA112" s="355"/>
      <c r="AB112" s="355"/>
      <c r="AC112" s="355"/>
      <c r="AD112" s="355"/>
      <c r="AE112" s="355"/>
      <c r="AF112" s="355"/>
      <c r="AG112" s="355"/>
      <c r="AH112" s="355"/>
    </row>
    <row r="113" spans="1:34" x14ac:dyDescent="0.2">
      <c r="A113" s="355"/>
      <c r="B113" s="500"/>
      <c r="C113" s="387"/>
      <c r="D113" s="387"/>
      <c r="E113" s="387"/>
      <c r="F113" s="387"/>
      <c r="G113" s="387"/>
      <c r="H113" s="387"/>
      <c r="I113" s="387"/>
      <c r="J113" s="387"/>
      <c r="K113" s="603" t="str">
        <f>"PE &amp; Sport Grant Funding due for September "&amp;'Fin.Yr Lookups'!A3&amp;" to March "&amp;'Fin.Yr Lookups'!A4</f>
        <v>PE &amp; Sport Grant Funding due for September 2020 to March 2021</v>
      </c>
      <c r="L113" s="387"/>
      <c r="M113" s="597">
        <f>ROUND(IF(L111&lt;17,L111*1000,(16000+(L111*10)))*7/12,0)</f>
        <v>9759</v>
      </c>
      <c r="N113" s="501"/>
      <c r="O113" s="355"/>
      <c r="R113" s="355"/>
      <c r="S113" s="355"/>
      <c r="T113" s="355"/>
      <c r="U113" s="355"/>
      <c r="V113" s="355"/>
      <c r="W113" s="355"/>
      <c r="X113" s="355"/>
      <c r="Y113" s="355"/>
      <c r="Z113" s="355"/>
      <c r="AA113" s="355"/>
      <c r="AB113" s="355"/>
      <c r="AC113" s="355"/>
      <c r="AD113" s="355"/>
      <c r="AE113" s="355"/>
      <c r="AF113" s="355"/>
      <c r="AG113" s="355"/>
      <c r="AH113" s="355"/>
    </row>
    <row r="114" spans="1:34" x14ac:dyDescent="0.2">
      <c r="A114" s="355"/>
      <c r="B114" s="500"/>
      <c r="C114" s="387"/>
      <c r="D114" s="387"/>
      <c r="E114" s="387"/>
      <c r="F114" s="387"/>
      <c r="G114" s="387"/>
      <c r="H114" s="387"/>
      <c r="I114" s="387"/>
      <c r="J114" s="387"/>
      <c r="K114" s="387"/>
      <c r="L114" s="387"/>
      <c r="M114" s="387"/>
      <c r="N114" s="501"/>
      <c r="O114" s="355"/>
      <c r="R114" s="355"/>
      <c r="S114" s="355"/>
      <c r="T114" s="355"/>
      <c r="U114" s="355"/>
      <c r="V114" s="355"/>
      <c r="W114" s="355"/>
      <c r="X114" s="355"/>
      <c r="Y114" s="355"/>
      <c r="Z114" s="355"/>
      <c r="AA114" s="355"/>
      <c r="AB114" s="355"/>
      <c r="AC114" s="355"/>
      <c r="AD114" s="355"/>
      <c r="AE114" s="355"/>
      <c r="AF114" s="355"/>
      <c r="AG114" s="355"/>
      <c r="AH114" s="355"/>
    </row>
    <row r="115" spans="1:34" ht="15.75" customHeight="1" x14ac:dyDescent="0.2">
      <c r="A115" s="355"/>
      <c r="B115" s="500"/>
      <c r="C115" s="387"/>
      <c r="D115" s="600" t="str">
        <f>"Total PE &amp; Sport Grant for the "&amp;'Fin.Yr Lookups'!A5&amp;" Financial Year"</f>
        <v>Total PE &amp; Sport Grant for the 2020-21 Financial Year</v>
      </c>
      <c r="E115" s="387"/>
      <c r="F115" s="387"/>
      <c r="G115" s="387"/>
      <c r="H115" s="387"/>
      <c r="I115" s="387"/>
      <c r="J115" s="387"/>
      <c r="K115" s="387"/>
      <c r="L115" s="387"/>
      <c r="M115" s="596">
        <f>M109+M113</f>
        <v>16730</v>
      </c>
      <c r="N115" s="501"/>
      <c r="O115" s="355"/>
      <c r="R115" s="355"/>
      <c r="S115" s="355"/>
      <c r="T115" s="355"/>
      <c r="U115" s="355"/>
      <c r="V115" s="355"/>
      <c r="W115" s="355"/>
      <c r="X115" s="355"/>
      <c r="Y115" s="355"/>
      <c r="Z115" s="355"/>
      <c r="AA115" s="355"/>
      <c r="AB115" s="355"/>
      <c r="AC115" s="355"/>
      <c r="AD115" s="355"/>
      <c r="AE115" s="355"/>
      <c r="AF115" s="355"/>
      <c r="AG115" s="355"/>
      <c r="AH115" s="355"/>
    </row>
    <row r="116" spans="1:34" ht="12.75" customHeight="1" x14ac:dyDescent="0.2">
      <c r="A116" s="355"/>
      <c r="B116" s="513"/>
      <c r="C116" s="1229"/>
      <c r="D116" s="1229"/>
      <c r="E116" s="1229"/>
      <c r="F116" s="1229"/>
      <c r="G116" s="1229"/>
      <c r="H116" s="1229"/>
      <c r="I116" s="1229"/>
      <c r="J116" s="1229"/>
      <c r="K116" s="1229"/>
      <c r="L116" s="1229"/>
      <c r="M116" s="487"/>
      <c r="N116" s="515"/>
      <c r="O116" s="355"/>
      <c r="R116" s="355"/>
      <c r="S116" s="355"/>
      <c r="T116" s="355"/>
      <c r="U116" s="355"/>
      <c r="V116" s="355"/>
      <c r="W116" s="355"/>
      <c r="X116" s="355"/>
      <c r="Y116" s="355"/>
      <c r="Z116" s="355"/>
      <c r="AA116" s="355"/>
      <c r="AB116" s="355"/>
      <c r="AC116" s="355"/>
      <c r="AD116" s="355"/>
      <c r="AE116" s="355"/>
      <c r="AF116" s="355"/>
      <c r="AG116" s="355"/>
      <c r="AH116" s="355"/>
    </row>
    <row r="117" spans="1:34" x14ac:dyDescent="0.2">
      <c r="A117" s="355"/>
      <c r="B117" s="355"/>
      <c r="C117" s="355"/>
      <c r="D117" s="355"/>
      <c r="E117" s="355"/>
      <c r="F117" s="355"/>
      <c r="G117" s="355"/>
      <c r="H117" s="355"/>
      <c r="I117" s="355"/>
      <c r="J117" s="355"/>
      <c r="K117" s="598"/>
      <c r="L117" s="355"/>
      <c r="M117" s="355"/>
      <c r="N117" s="355"/>
      <c r="O117" s="355"/>
      <c r="R117" s="355"/>
      <c r="S117" s="355"/>
      <c r="T117" s="355"/>
      <c r="U117" s="355"/>
      <c r="V117" s="355"/>
      <c r="W117" s="355"/>
      <c r="X117" s="355"/>
      <c r="Y117" s="355"/>
      <c r="Z117" s="355"/>
      <c r="AA117" s="355"/>
      <c r="AB117" s="355"/>
      <c r="AC117" s="355"/>
      <c r="AD117" s="355"/>
      <c r="AE117" s="355"/>
      <c r="AF117" s="355"/>
      <c r="AG117" s="355"/>
      <c r="AH117" s="355"/>
    </row>
    <row r="118" spans="1:34" x14ac:dyDescent="0.2">
      <c r="A118" s="355"/>
      <c r="B118" s="355"/>
      <c r="C118" s="355"/>
      <c r="D118" s="355"/>
      <c r="E118" s="355"/>
      <c r="F118" s="355"/>
      <c r="G118" s="355"/>
      <c r="H118" s="355"/>
      <c r="I118" s="355"/>
      <c r="J118" s="355"/>
      <c r="K118" s="598"/>
      <c r="L118" s="355"/>
      <c r="M118" s="355"/>
      <c r="N118" s="355"/>
      <c r="O118" s="355"/>
      <c r="R118" s="355"/>
      <c r="S118" s="355"/>
      <c r="T118" s="355"/>
      <c r="U118" s="355"/>
      <c r="V118" s="355"/>
      <c r="W118" s="355"/>
      <c r="X118" s="355"/>
      <c r="Y118" s="355"/>
      <c r="Z118" s="355"/>
      <c r="AA118" s="355"/>
      <c r="AB118" s="355"/>
      <c r="AC118" s="355"/>
      <c r="AD118" s="355"/>
      <c r="AE118" s="355"/>
      <c r="AF118" s="355"/>
      <c r="AG118" s="355"/>
      <c r="AH118" s="355"/>
    </row>
    <row r="119" spans="1:34" x14ac:dyDescent="0.2">
      <c r="A119" s="355"/>
      <c r="B119" s="355"/>
      <c r="C119" s="355"/>
      <c r="D119" s="355"/>
      <c r="E119" s="355"/>
      <c r="F119" s="355"/>
      <c r="G119" s="355"/>
      <c r="H119" s="355"/>
      <c r="I119" s="355"/>
      <c r="J119" s="355"/>
      <c r="K119" s="598"/>
      <c r="L119" s="355"/>
      <c r="M119" s="355"/>
      <c r="N119" s="355"/>
      <c r="O119" s="355"/>
      <c r="R119" s="355"/>
      <c r="S119" s="355"/>
      <c r="T119" s="355"/>
      <c r="U119" s="355"/>
      <c r="V119" s="355"/>
      <c r="W119" s="355"/>
      <c r="X119" s="355"/>
      <c r="Y119" s="355"/>
      <c r="Z119" s="355"/>
      <c r="AA119" s="355"/>
      <c r="AB119" s="355"/>
      <c r="AC119" s="355"/>
      <c r="AD119" s="355"/>
      <c r="AE119" s="355"/>
      <c r="AF119" s="355"/>
      <c r="AG119" s="355"/>
      <c r="AH119" s="355"/>
    </row>
    <row r="120" spans="1:34" x14ac:dyDescent="0.2">
      <c r="A120" s="355"/>
      <c r="B120" s="355"/>
      <c r="C120" s="355"/>
      <c r="D120" s="355"/>
      <c r="E120" s="355"/>
      <c r="F120" s="355"/>
      <c r="G120" s="355"/>
      <c r="H120" s="355"/>
      <c r="I120" s="355"/>
      <c r="J120" s="355"/>
      <c r="K120" s="598"/>
      <c r="L120" s="355"/>
      <c r="M120" s="355"/>
      <c r="N120" s="355"/>
      <c r="O120" s="355"/>
      <c r="R120" s="355"/>
      <c r="S120" s="355"/>
      <c r="T120" s="355"/>
      <c r="U120" s="355"/>
      <c r="V120" s="355"/>
      <c r="W120" s="355"/>
      <c r="X120" s="355"/>
      <c r="Y120" s="355"/>
      <c r="Z120" s="355"/>
      <c r="AA120" s="355"/>
      <c r="AB120" s="355"/>
      <c r="AC120" s="355"/>
      <c r="AD120" s="355"/>
      <c r="AE120" s="355"/>
      <c r="AF120" s="355"/>
      <c r="AG120" s="355"/>
      <c r="AH120" s="355"/>
    </row>
    <row r="121" spans="1:34" x14ac:dyDescent="0.2">
      <c r="A121" s="355"/>
      <c r="B121" s="355"/>
      <c r="C121" s="355"/>
      <c r="D121" s="355"/>
      <c r="E121" s="355"/>
      <c r="F121" s="355"/>
      <c r="G121" s="355"/>
      <c r="H121" s="355"/>
      <c r="I121" s="355"/>
      <c r="J121" s="355"/>
      <c r="K121" s="598"/>
      <c r="L121" s="355"/>
      <c r="M121" s="355"/>
      <c r="N121" s="355"/>
      <c r="O121" s="355"/>
      <c r="R121" s="355"/>
      <c r="S121" s="355"/>
      <c r="T121" s="355"/>
      <c r="U121" s="355"/>
      <c r="V121" s="355"/>
      <c r="W121" s="355"/>
      <c r="X121" s="355"/>
      <c r="Y121" s="355"/>
      <c r="Z121" s="355"/>
      <c r="AA121" s="355"/>
      <c r="AB121" s="355"/>
      <c r="AC121" s="355"/>
      <c r="AD121" s="355"/>
      <c r="AE121" s="355"/>
      <c r="AF121" s="355"/>
      <c r="AG121" s="355"/>
      <c r="AH121" s="355"/>
    </row>
    <row r="122" spans="1:34" x14ac:dyDescent="0.2">
      <c r="A122" s="355"/>
      <c r="B122" s="355"/>
      <c r="C122" s="355"/>
      <c r="D122" s="355"/>
      <c r="E122" s="355"/>
      <c r="F122" s="355"/>
      <c r="G122" s="355"/>
      <c r="H122" s="355"/>
      <c r="I122" s="355"/>
      <c r="J122" s="355"/>
      <c r="K122" s="598"/>
      <c r="L122" s="355"/>
      <c r="M122" s="355"/>
      <c r="N122" s="355"/>
      <c r="O122" s="355"/>
      <c r="R122" s="355"/>
      <c r="S122" s="355"/>
      <c r="T122" s="355"/>
      <c r="U122" s="355"/>
      <c r="V122" s="355"/>
      <c r="W122" s="355"/>
      <c r="X122" s="355"/>
      <c r="Y122" s="355"/>
      <c r="Z122" s="355"/>
      <c r="AA122" s="355"/>
      <c r="AB122" s="355"/>
      <c r="AC122" s="355"/>
      <c r="AD122" s="355"/>
      <c r="AE122" s="355"/>
      <c r="AF122" s="355"/>
      <c r="AG122" s="355"/>
      <c r="AH122" s="355"/>
    </row>
    <row r="123" spans="1:34" x14ac:dyDescent="0.2">
      <c r="A123" s="355"/>
      <c r="B123" s="355"/>
      <c r="C123" s="355"/>
      <c r="D123" s="355"/>
      <c r="E123" s="355"/>
      <c r="F123" s="355"/>
      <c r="G123" s="355"/>
      <c r="H123" s="355"/>
      <c r="I123" s="355"/>
      <c r="J123" s="355"/>
      <c r="K123" s="598"/>
      <c r="L123" s="355"/>
      <c r="M123" s="355"/>
      <c r="N123" s="355"/>
      <c r="O123" s="355"/>
      <c r="R123" s="355"/>
      <c r="S123" s="355"/>
      <c r="T123" s="355"/>
      <c r="U123" s="355"/>
      <c r="V123" s="355"/>
      <c r="W123" s="355"/>
      <c r="X123" s="355"/>
      <c r="Y123" s="355"/>
      <c r="Z123" s="355"/>
      <c r="AA123" s="355"/>
      <c r="AB123" s="355"/>
      <c r="AC123" s="355"/>
      <c r="AD123" s="355"/>
      <c r="AE123" s="355"/>
      <c r="AF123" s="355"/>
      <c r="AG123" s="355"/>
      <c r="AH123" s="355"/>
    </row>
    <row r="124" spans="1:34" x14ac:dyDescent="0.2">
      <c r="A124" s="355"/>
      <c r="B124" s="355"/>
      <c r="C124" s="355"/>
      <c r="D124" s="355"/>
      <c r="E124" s="355"/>
      <c r="F124" s="355"/>
      <c r="G124" s="355"/>
      <c r="H124" s="355"/>
      <c r="I124" s="355"/>
      <c r="J124" s="355"/>
      <c r="K124" s="598"/>
      <c r="L124" s="355"/>
      <c r="M124" s="355"/>
      <c r="N124" s="355"/>
      <c r="O124" s="355"/>
      <c r="R124" s="355"/>
      <c r="S124" s="355"/>
      <c r="T124" s="355"/>
      <c r="U124" s="355"/>
      <c r="V124" s="355"/>
      <c r="W124" s="355"/>
      <c r="X124" s="355"/>
      <c r="Y124" s="355"/>
      <c r="Z124" s="355"/>
      <c r="AA124" s="355"/>
      <c r="AB124" s="355"/>
      <c r="AC124" s="355"/>
      <c r="AD124" s="355"/>
      <c r="AE124" s="355"/>
      <c r="AF124" s="355"/>
      <c r="AG124" s="355"/>
      <c r="AH124" s="355"/>
    </row>
    <row r="125" spans="1:34" x14ac:dyDescent="0.2">
      <c r="A125" s="355"/>
      <c r="B125" s="355"/>
      <c r="C125" s="355"/>
      <c r="D125" s="355"/>
      <c r="E125" s="355"/>
      <c r="F125" s="355"/>
      <c r="G125" s="355"/>
      <c r="H125" s="355"/>
      <c r="I125" s="355"/>
      <c r="J125" s="355"/>
      <c r="K125" s="598"/>
      <c r="L125" s="355"/>
      <c r="M125" s="355"/>
      <c r="N125" s="355"/>
      <c r="O125" s="355"/>
      <c r="R125" s="355"/>
      <c r="S125" s="355"/>
      <c r="T125" s="355"/>
      <c r="U125" s="355"/>
      <c r="V125" s="355"/>
      <c r="W125" s="355"/>
      <c r="X125" s="355"/>
      <c r="Y125" s="355"/>
      <c r="Z125" s="355"/>
      <c r="AA125" s="355"/>
      <c r="AB125" s="355"/>
      <c r="AC125" s="355"/>
      <c r="AD125" s="355"/>
      <c r="AE125" s="355"/>
      <c r="AF125" s="355"/>
      <c r="AG125" s="355"/>
      <c r="AH125" s="355"/>
    </row>
    <row r="126" spans="1:34" x14ac:dyDescent="0.2">
      <c r="A126" s="355"/>
      <c r="B126" s="355"/>
      <c r="C126" s="355"/>
      <c r="D126" s="355"/>
      <c r="E126" s="355"/>
      <c r="F126" s="355"/>
      <c r="G126" s="355"/>
      <c r="H126" s="355"/>
      <c r="I126" s="355"/>
      <c r="J126" s="355"/>
      <c r="K126" s="598"/>
      <c r="L126" s="355"/>
      <c r="M126" s="355"/>
      <c r="N126" s="355"/>
      <c r="O126" s="355"/>
      <c r="R126" s="355"/>
      <c r="S126" s="355"/>
      <c r="T126" s="355"/>
      <c r="U126" s="355"/>
      <c r="V126" s="355"/>
      <c r="W126" s="355"/>
      <c r="X126" s="355"/>
      <c r="Y126" s="355"/>
      <c r="Z126" s="355"/>
      <c r="AA126" s="355"/>
      <c r="AB126" s="355"/>
      <c r="AC126" s="355"/>
      <c r="AD126" s="355"/>
      <c r="AE126" s="355"/>
      <c r="AF126" s="355"/>
      <c r="AG126" s="355"/>
      <c r="AH126" s="355"/>
    </row>
    <row r="127" spans="1:34" x14ac:dyDescent="0.2">
      <c r="A127" s="355"/>
      <c r="B127" s="355"/>
      <c r="C127" s="355"/>
      <c r="D127" s="355"/>
      <c r="E127" s="355"/>
      <c r="F127" s="355"/>
      <c r="G127" s="355"/>
      <c r="H127" s="355"/>
      <c r="I127" s="355"/>
      <c r="J127" s="355"/>
      <c r="K127" s="598"/>
      <c r="L127" s="355"/>
      <c r="M127" s="355"/>
      <c r="N127" s="355"/>
      <c r="O127" s="355"/>
      <c r="R127" s="355"/>
      <c r="S127" s="355"/>
      <c r="T127" s="355"/>
      <c r="U127" s="355"/>
      <c r="V127" s="355"/>
      <c r="W127" s="355"/>
      <c r="X127" s="355"/>
      <c r="Y127" s="355"/>
      <c r="Z127" s="355"/>
      <c r="AA127" s="355"/>
      <c r="AB127" s="355"/>
      <c r="AC127" s="355"/>
      <c r="AD127" s="355"/>
      <c r="AE127" s="355"/>
      <c r="AF127" s="355"/>
      <c r="AG127" s="355"/>
      <c r="AH127" s="355"/>
    </row>
    <row r="128" spans="1:34" x14ac:dyDescent="0.2">
      <c r="A128" s="355"/>
      <c r="B128" s="355"/>
      <c r="C128" s="355"/>
      <c r="D128" s="355"/>
      <c r="E128" s="355"/>
      <c r="F128" s="355"/>
      <c r="G128" s="355"/>
      <c r="H128" s="355"/>
      <c r="I128" s="355"/>
      <c r="J128" s="355"/>
      <c r="K128" s="598"/>
      <c r="L128" s="355"/>
      <c r="M128" s="355"/>
      <c r="N128" s="355"/>
      <c r="O128" s="355"/>
      <c r="R128" s="355"/>
      <c r="S128" s="355"/>
      <c r="T128" s="355"/>
      <c r="U128" s="355"/>
      <c r="V128" s="355"/>
      <c r="W128" s="355"/>
      <c r="X128" s="355"/>
      <c r="Y128" s="355"/>
      <c r="Z128" s="355"/>
      <c r="AA128" s="355"/>
      <c r="AB128" s="355"/>
      <c r="AC128" s="355"/>
      <c r="AD128" s="355"/>
      <c r="AE128" s="355"/>
      <c r="AF128" s="355"/>
      <c r="AG128" s="355"/>
      <c r="AH128" s="355"/>
    </row>
    <row r="129" spans="1:34" x14ac:dyDescent="0.2">
      <c r="A129" s="355"/>
      <c r="B129" s="355"/>
      <c r="C129" s="355"/>
      <c r="D129" s="355"/>
      <c r="E129" s="355"/>
      <c r="F129" s="355"/>
      <c r="G129" s="355"/>
      <c r="H129" s="355"/>
      <c r="I129" s="355"/>
      <c r="J129" s="355"/>
      <c r="K129" s="598"/>
      <c r="L129" s="355"/>
      <c r="M129" s="355"/>
      <c r="N129" s="355"/>
      <c r="O129" s="355"/>
      <c r="R129" s="355"/>
      <c r="S129" s="355"/>
      <c r="T129" s="355"/>
      <c r="U129" s="355"/>
      <c r="V129" s="355"/>
      <c r="W129" s="355"/>
      <c r="X129" s="355"/>
      <c r="Y129" s="355"/>
      <c r="Z129" s="355"/>
      <c r="AA129" s="355"/>
      <c r="AB129" s="355"/>
      <c r="AC129" s="355"/>
      <c r="AD129" s="355"/>
      <c r="AE129" s="355"/>
      <c r="AF129" s="355"/>
      <c r="AG129" s="355"/>
      <c r="AH129" s="355"/>
    </row>
    <row r="130" spans="1:34" x14ac:dyDescent="0.2">
      <c r="A130" s="355"/>
      <c r="B130" s="355"/>
      <c r="C130" s="355"/>
      <c r="D130" s="355"/>
      <c r="E130" s="355"/>
      <c r="F130" s="355"/>
      <c r="G130" s="355"/>
      <c r="H130" s="355"/>
      <c r="I130" s="355"/>
      <c r="J130" s="355"/>
      <c r="K130" s="598"/>
      <c r="L130" s="355"/>
      <c r="M130" s="355"/>
      <c r="N130" s="355"/>
      <c r="O130" s="355"/>
      <c r="R130" s="355"/>
      <c r="S130" s="355"/>
      <c r="T130" s="355"/>
      <c r="U130" s="355"/>
      <c r="V130" s="355"/>
      <c r="W130" s="355"/>
      <c r="X130" s="355"/>
      <c r="Y130" s="355"/>
      <c r="Z130" s="355"/>
      <c r="AA130" s="355"/>
      <c r="AB130" s="355"/>
      <c r="AC130" s="355"/>
      <c r="AD130" s="355"/>
      <c r="AE130" s="355"/>
      <c r="AF130" s="355"/>
      <c r="AG130" s="355"/>
      <c r="AH130" s="355"/>
    </row>
    <row r="131" spans="1:34" x14ac:dyDescent="0.2">
      <c r="A131" s="355"/>
      <c r="B131" s="355"/>
      <c r="C131" s="355"/>
      <c r="D131" s="355"/>
      <c r="E131" s="355"/>
      <c r="F131" s="355"/>
      <c r="G131" s="355"/>
      <c r="H131" s="355"/>
      <c r="I131" s="355"/>
      <c r="J131" s="355"/>
      <c r="K131" s="598"/>
      <c r="L131" s="355"/>
      <c r="M131" s="355"/>
      <c r="N131" s="355"/>
      <c r="O131" s="355"/>
      <c r="R131" s="355"/>
      <c r="S131" s="355"/>
      <c r="T131" s="355"/>
      <c r="U131" s="355"/>
      <c r="V131" s="355"/>
      <c r="W131" s="355"/>
      <c r="X131" s="355"/>
      <c r="Y131" s="355"/>
      <c r="Z131" s="355"/>
      <c r="AA131" s="355"/>
      <c r="AB131" s="355"/>
      <c r="AC131" s="355"/>
      <c r="AD131" s="355"/>
      <c r="AE131" s="355"/>
      <c r="AF131" s="355"/>
      <c r="AG131" s="355"/>
      <c r="AH131" s="355"/>
    </row>
    <row r="132" spans="1:34" x14ac:dyDescent="0.2">
      <c r="A132" s="355"/>
      <c r="B132" s="355"/>
      <c r="C132" s="355"/>
      <c r="D132" s="355"/>
      <c r="E132" s="355"/>
      <c r="F132" s="355"/>
      <c r="G132" s="355"/>
      <c r="H132" s="355"/>
      <c r="I132" s="355"/>
      <c r="J132" s="355"/>
      <c r="K132" s="598"/>
      <c r="L132" s="355"/>
      <c r="M132" s="355"/>
      <c r="N132" s="355"/>
      <c r="O132" s="355"/>
      <c r="R132" s="355"/>
      <c r="S132" s="355"/>
      <c r="T132" s="355"/>
      <c r="U132" s="355"/>
      <c r="V132" s="355"/>
      <c r="W132" s="355"/>
      <c r="X132" s="355"/>
      <c r="Y132" s="355"/>
      <c r="Z132" s="355"/>
      <c r="AA132" s="355"/>
      <c r="AB132" s="355"/>
      <c r="AC132" s="355"/>
      <c r="AD132" s="355"/>
      <c r="AE132" s="355"/>
      <c r="AF132" s="355"/>
      <c r="AG132" s="355"/>
      <c r="AH132" s="355"/>
    </row>
    <row r="133" spans="1:34" x14ac:dyDescent="0.2">
      <c r="A133" s="355"/>
      <c r="B133" s="355"/>
      <c r="C133" s="355"/>
      <c r="D133" s="355"/>
      <c r="E133" s="355"/>
      <c r="F133" s="355"/>
      <c r="G133" s="355"/>
      <c r="H133" s="355"/>
      <c r="I133" s="355"/>
      <c r="J133" s="355"/>
      <c r="K133" s="598"/>
      <c r="L133" s="355"/>
      <c r="M133" s="355"/>
      <c r="N133" s="355"/>
      <c r="O133" s="355"/>
      <c r="R133" s="355"/>
      <c r="S133" s="355"/>
      <c r="T133" s="355"/>
      <c r="U133" s="355"/>
      <c r="V133" s="355"/>
      <c r="W133" s="355"/>
      <c r="X133" s="355"/>
      <c r="Y133" s="355"/>
      <c r="Z133" s="355"/>
      <c r="AA133" s="355"/>
      <c r="AB133" s="355"/>
      <c r="AC133" s="355"/>
      <c r="AD133" s="355"/>
      <c r="AE133" s="355"/>
      <c r="AF133" s="355"/>
      <c r="AG133" s="355"/>
      <c r="AH133" s="355"/>
    </row>
    <row r="134" spans="1:34" x14ac:dyDescent="0.2">
      <c r="A134" s="355"/>
      <c r="B134" s="355"/>
      <c r="C134" s="355"/>
      <c r="D134" s="355"/>
      <c r="E134" s="355"/>
      <c r="F134" s="355"/>
      <c r="G134" s="355"/>
      <c r="H134" s="355"/>
      <c r="I134" s="355"/>
      <c r="J134" s="355"/>
      <c r="K134" s="598"/>
      <c r="L134" s="355"/>
      <c r="M134" s="355"/>
      <c r="N134" s="355"/>
      <c r="O134" s="355"/>
      <c r="R134" s="355"/>
      <c r="S134" s="355"/>
      <c r="T134" s="355"/>
      <c r="U134" s="355"/>
      <c r="V134" s="355"/>
      <c r="W134" s="355"/>
      <c r="X134" s="355"/>
      <c r="Y134" s="355"/>
      <c r="Z134" s="355"/>
      <c r="AA134" s="355"/>
      <c r="AB134" s="355"/>
      <c r="AC134" s="355"/>
      <c r="AD134" s="355"/>
      <c r="AE134" s="355"/>
      <c r="AF134" s="355"/>
      <c r="AG134" s="355"/>
      <c r="AH134" s="355"/>
    </row>
    <row r="135" spans="1:34" x14ac:dyDescent="0.2">
      <c r="A135" s="355"/>
      <c r="B135" s="355"/>
      <c r="C135" s="355"/>
      <c r="D135" s="355"/>
      <c r="E135" s="355"/>
      <c r="F135" s="355"/>
      <c r="G135" s="355"/>
      <c r="H135" s="355"/>
      <c r="I135" s="355"/>
      <c r="J135" s="355"/>
      <c r="K135" s="598"/>
      <c r="L135" s="355"/>
      <c r="M135" s="355"/>
      <c r="N135" s="355"/>
      <c r="O135" s="355"/>
      <c r="R135" s="355"/>
      <c r="S135" s="355"/>
      <c r="T135" s="355"/>
      <c r="U135" s="355"/>
      <c r="V135" s="355"/>
      <c r="W135" s="355"/>
      <c r="X135" s="355"/>
      <c r="Y135" s="355"/>
      <c r="Z135" s="355"/>
      <c r="AA135" s="355"/>
      <c r="AB135" s="355"/>
      <c r="AC135" s="355"/>
      <c r="AD135" s="355"/>
      <c r="AE135" s="355"/>
      <c r="AF135" s="355"/>
      <c r="AG135" s="355"/>
      <c r="AH135" s="355"/>
    </row>
    <row r="136" spans="1:34" x14ac:dyDescent="0.2">
      <c r="A136" s="355"/>
      <c r="B136" s="355"/>
      <c r="C136" s="355"/>
      <c r="D136" s="355"/>
      <c r="E136" s="355"/>
      <c r="F136" s="355"/>
      <c r="G136" s="355"/>
      <c r="H136" s="355"/>
      <c r="I136" s="355"/>
      <c r="J136" s="355"/>
      <c r="K136" s="598"/>
      <c r="L136" s="355"/>
      <c r="M136" s="355"/>
      <c r="N136" s="355"/>
      <c r="O136" s="355"/>
      <c r="R136" s="355"/>
      <c r="S136" s="355"/>
      <c r="T136" s="355"/>
      <c r="U136" s="355"/>
      <c r="V136" s="355"/>
      <c r="W136" s="355"/>
      <c r="X136" s="355"/>
      <c r="Y136" s="355"/>
      <c r="Z136" s="355"/>
      <c r="AA136" s="355"/>
      <c r="AB136" s="355"/>
      <c r="AC136" s="355"/>
      <c r="AD136" s="355"/>
      <c r="AE136" s="355"/>
      <c r="AF136" s="355"/>
      <c r="AG136" s="355"/>
      <c r="AH136" s="355"/>
    </row>
    <row r="137" spans="1:34" x14ac:dyDescent="0.2">
      <c r="A137" s="355"/>
      <c r="B137" s="355"/>
      <c r="C137" s="355"/>
      <c r="D137" s="355"/>
      <c r="E137" s="355"/>
      <c r="F137" s="355"/>
      <c r="G137" s="355"/>
      <c r="H137" s="355"/>
      <c r="I137" s="355"/>
      <c r="J137" s="355"/>
      <c r="K137" s="598"/>
      <c r="L137" s="355"/>
      <c r="M137" s="355"/>
      <c r="N137" s="355"/>
      <c r="O137" s="355"/>
      <c r="R137" s="355"/>
      <c r="S137" s="355"/>
      <c r="T137" s="355"/>
      <c r="U137" s="355"/>
      <c r="V137" s="355"/>
      <c r="W137" s="355"/>
      <c r="X137" s="355"/>
      <c r="Y137" s="355"/>
      <c r="Z137" s="355"/>
      <c r="AA137" s="355"/>
      <c r="AB137" s="355"/>
      <c r="AC137" s="355"/>
      <c r="AD137" s="355"/>
      <c r="AE137" s="355"/>
      <c r="AF137" s="355"/>
      <c r="AG137" s="355"/>
      <c r="AH137" s="355"/>
    </row>
    <row r="138" spans="1:34" x14ac:dyDescent="0.2">
      <c r="A138" s="355"/>
      <c r="B138" s="355"/>
      <c r="C138" s="355"/>
      <c r="D138" s="355"/>
      <c r="E138" s="355"/>
      <c r="F138" s="355"/>
      <c r="G138" s="355"/>
      <c r="H138" s="355"/>
      <c r="I138" s="355"/>
      <c r="J138" s="355"/>
      <c r="K138" s="598"/>
      <c r="L138" s="355"/>
      <c r="M138" s="355"/>
      <c r="N138" s="355"/>
      <c r="O138" s="355"/>
      <c r="R138" s="355"/>
      <c r="S138" s="355"/>
      <c r="T138" s="355"/>
      <c r="U138" s="355"/>
      <c r="V138" s="355"/>
      <c r="W138" s="355"/>
      <c r="X138" s="355"/>
      <c r="Y138" s="355"/>
      <c r="Z138" s="355"/>
      <c r="AA138" s="355"/>
      <c r="AB138" s="355"/>
      <c r="AC138" s="355"/>
      <c r="AD138" s="355"/>
      <c r="AE138" s="355"/>
      <c r="AF138" s="355"/>
      <c r="AG138" s="355"/>
      <c r="AH138" s="355"/>
    </row>
    <row r="139" spans="1:34" x14ac:dyDescent="0.2">
      <c r="A139" s="355"/>
      <c r="B139" s="355"/>
      <c r="C139" s="355"/>
      <c r="D139" s="355"/>
      <c r="E139" s="355"/>
      <c r="F139" s="355"/>
      <c r="G139" s="355"/>
      <c r="H139" s="355"/>
      <c r="I139" s="355"/>
      <c r="J139" s="355"/>
      <c r="K139" s="598"/>
      <c r="L139" s="355"/>
      <c r="M139" s="355"/>
      <c r="N139" s="355"/>
      <c r="O139" s="355"/>
      <c r="R139" s="355"/>
      <c r="S139" s="355"/>
      <c r="T139" s="355"/>
      <c r="U139" s="355"/>
      <c r="V139" s="355"/>
      <c r="W139" s="355"/>
      <c r="X139" s="355"/>
      <c r="Y139" s="355"/>
      <c r="Z139" s="355"/>
      <c r="AA139" s="355"/>
      <c r="AB139" s="355"/>
      <c r="AC139" s="355"/>
      <c r="AD139" s="355"/>
      <c r="AE139" s="355"/>
      <c r="AF139" s="355"/>
      <c r="AG139" s="355"/>
      <c r="AH139" s="355"/>
    </row>
    <row r="140" spans="1:34" x14ac:dyDescent="0.2">
      <c r="A140" s="355"/>
      <c r="B140" s="355"/>
      <c r="C140" s="355"/>
      <c r="D140" s="355"/>
      <c r="E140" s="355"/>
      <c r="F140" s="355"/>
      <c r="G140" s="355"/>
      <c r="H140" s="355"/>
      <c r="I140" s="355"/>
      <c r="J140" s="355"/>
      <c r="K140" s="598"/>
      <c r="L140" s="355"/>
      <c r="M140" s="355"/>
      <c r="N140" s="355"/>
      <c r="O140" s="355"/>
      <c r="R140" s="355"/>
      <c r="S140" s="355"/>
      <c r="T140" s="355"/>
      <c r="U140" s="355"/>
      <c r="V140" s="355"/>
      <c r="W140" s="355"/>
      <c r="X140" s="355"/>
      <c r="Y140" s="355"/>
      <c r="Z140" s="355"/>
      <c r="AA140" s="355"/>
      <c r="AB140" s="355"/>
      <c r="AC140" s="355"/>
      <c r="AD140" s="355"/>
      <c r="AE140" s="355"/>
      <c r="AF140" s="355"/>
      <c r="AG140" s="355"/>
      <c r="AH140" s="355"/>
    </row>
    <row r="141" spans="1:34" x14ac:dyDescent="0.2">
      <c r="A141" s="355"/>
      <c r="B141" s="355"/>
      <c r="C141" s="355"/>
      <c r="D141" s="355"/>
      <c r="E141" s="355"/>
      <c r="F141" s="355"/>
      <c r="G141" s="355"/>
      <c r="H141" s="355"/>
      <c r="I141" s="355"/>
      <c r="J141" s="355"/>
      <c r="K141" s="598"/>
      <c r="L141" s="355"/>
      <c r="M141" s="355"/>
      <c r="N141" s="355"/>
      <c r="O141" s="355"/>
      <c r="R141" s="355"/>
      <c r="S141" s="355"/>
      <c r="T141" s="355"/>
      <c r="U141" s="355"/>
      <c r="V141" s="355"/>
      <c r="W141" s="355"/>
      <c r="X141" s="355"/>
      <c r="Y141" s="355"/>
      <c r="Z141" s="355"/>
      <c r="AA141" s="355"/>
      <c r="AB141" s="355"/>
      <c r="AC141" s="355"/>
      <c r="AD141" s="355"/>
      <c r="AE141" s="355"/>
      <c r="AF141" s="355"/>
      <c r="AG141" s="355"/>
      <c r="AH141" s="355"/>
    </row>
    <row r="142" spans="1:34" x14ac:dyDescent="0.2">
      <c r="A142" s="355"/>
      <c r="B142" s="355"/>
      <c r="C142" s="355"/>
      <c r="D142" s="355"/>
      <c r="E142" s="355"/>
      <c r="F142" s="355"/>
      <c r="G142" s="355"/>
      <c r="H142" s="355"/>
      <c r="I142" s="355"/>
      <c r="J142" s="355"/>
      <c r="K142" s="598"/>
      <c r="L142" s="355"/>
      <c r="M142" s="355"/>
      <c r="N142" s="355"/>
      <c r="O142" s="355"/>
      <c r="R142" s="355"/>
      <c r="S142" s="355"/>
      <c r="T142" s="355"/>
      <c r="U142" s="355"/>
      <c r="V142" s="355"/>
      <c r="W142" s="355"/>
      <c r="X142" s="355"/>
      <c r="Y142" s="355"/>
      <c r="Z142" s="355"/>
      <c r="AA142" s="355"/>
      <c r="AB142" s="355"/>
      <c r="AC142" s="355"/>
      <c r="AD142" s="355"/>
      <c r="AE142" s="355"/>
      <c r="AF142" s="355"/>
      <c r="AG142" s="355"/>
      <c r="AH142" s="355"/>
    </row>
    <row r="143" spans="1:34" x14ac:dyDescent="0.2">
      <c r="A143" s="355"/>
      <c r="B143" s="355"/>
      <c r="C143" s="355"/>
      <c r="D143" s="355"/>
      <c r="E143" s="355"/>
      <c r="F143" s="355"/>
      <c r="G143" s="355"/>
      <c r="H143" s="355"/>
      <c r="I143" s="355"/>
      <c r="J143" s="355"/>
      <c r="K143" s="598"/>
      <c r="L143" s="355"/>
      <c r="M143" s="355"/>
      <c r="N143" s="355"/>
      <c r="O143" s="355"/>
      <c r="R143" s="355"/>
      <c r="S143" s="355"/>
      <c r="T143" s="355"/>
      <c r="U143" s="355"/>
      <c r="V143" s="355"/>
      <c r="W143" s="355"/>
      <c r="X143" s="355"/>
      <c r="Y143" s="355"/>
      <c r="Z143" s="355"/>
      <c r="AA143" s="355"/>
      <c r="AB143" s="355"/>
      <c r="AC143" s="355"/>
      <c r="AD143" s="355"/>
      <c r="AE143" s="355"/>
      <c r="AF143" s="355"/>
      <c r="AG143" s="355"/>
      <c r="AH143" s="355"/>
    </row>
    <row r="144" spans="1:34" x14ac:dyDescent="0.2">
      <c r="A144" s="355"/>
      <c r="B144" s="355"/>
      <c r="C144" s="355"/>
      <c r="D144" s="355"/>
      <c r="E144" s="355"/>
      <c r="F144" s="355"/>
      <c r="G144" s="355"/>
      <c r="H144" s="355"/>
      <c r="I144" s="355"/>
      <c r="J144" s="355"/>
      <c r="K144" s="598"/>
      <c r="L144" s="355"/>
      <c r="M144" s="355"/>
      <c r="N144" s="355"/>
      <c r="O144" s="355"/>
      <c r="R144" s="355"/>
      <c r="S144" s="355"/>
      <c r="T144" s="355"/>
      <c r="U144" s="355"/>
      <c r="V144" s="355"/>
      <c r="W144" s="355"/>
      <c r="X144" s="355"/>
      <c r="Y144" s="355"/>
      <c r="Z144" s="355"/>
      <c r="AA144" s="355"/>
      <c r="AB144" s="355"/>
      <c r="AC144" s="355"/>
      <c r="AD144" s="355"/>
      <c r="AE144" s="355"/>
      <c r="AF144" s="355"/>
      <c r="AG144" s="355"/>
      <c r="AH144" s="355"/>
    </row>
    <row r="145" spans="1:34" x14ac:dyDescent="0.2">
      <c r="A145" s="355"/>
      <c r="B145" s="355"/>
      <c r="C145" s="355"/>
      <c r="D145" s="355"/>
      <c r="E145" s="355"/>
      <c r="F145" s="355"/>
      <c r="G145" s="355"/>
      <c r="H145" s="355"/>
      <c r="I145" s="355"/>
      <c r="J145" s="355"/>
      <c r="K145" s="598"/>
      <c r="L145" s="355"/>
      <c r="M145" s="355"/>
      <c r="N145" s="355"/>
      <c r="O145" s="355"/>
      <c r="R145" s="355"/>
      <c r="S145" s="355"/>
      <c r="T145" s="355"/>
      <c r="U145" s="355"/>
      <c r="V145" s="355"/>
      <c r="W145" s="355"/>
      <c r="X145" s="355"/>
      <c r="Y145" s="355"/>
      <c r="Z145" s="355"/>
      <c r="AA145" s="355"/>
      <c r="AB145" s="355"/>
      <c r="AC145" s="355"/>
      <c r="AD145" s="355"/>
      <c r="AE145" s="355"/>
      <c r="AF145" s="355"/>
      <c r="AG145" s="355"/>
      <c r="AH145" s="355"/>
    </row>
    <row r="146" spans="1:34" x14ac:dyDescent="0.2">
      <c r="A146" s="355"/>
      <c r="B146" s="355"/>
      <c r="C146" s="355"/>
      <c r="D146" s="355"/>
      <c r="E146" s="355"/>
      <c r="F146" s="355"/>
      <c r="G146" s="355"/>
      <c r="H146" s="355"/>
      <c r="I146" s="355"/>
      <c r="J146" s="355"/>
      <c r="K146" s="598"/>
      <c r="L146" s="355"/>
      <c r="M146" s="355"/>
      <c r="N146" s="355"/>
      <c r="O146" s="355"/>
      <c r="R146" s="355"/>
      <c r="S146" s="355"/>
      <c r="T146" s="355"/>
      <c r="U146" s="355"/>
      <c r="V146" s="355"/>
      <c r="W146" s="355"/>
      <c r="X146" s="355"/>
      <c r="Y146" s="355"/>
      <c r="Z146" s="355"/>
      <c r="AA146" s="355"/>
      <c r="AB146" s="355"/>
      <c r="AC146" s="355"/>
      <c r="AD146" s="355"/>
      <c r="AE146" s="355"/>
      <c r="AF146" s="355"/>
      <c r="AG146" s="355"/>
      <c r="AH146" s="355"/>
    </row>
    <row r="147" spans="1:34" x14ac:dyDescent="0.2">
      <c r="A147" s="355"/>
      <c r="B147" s="355"/>
      <c r="C147" s="355"/>
      <c r="D147" s="355"/>
      <c r="E147" s="355"/>
      <c r="F147" s="355"/>
      <c r="G147" s="355"/>
      <c r="H147" s="355"/>
      <c r="I147" s="355"/>
      <c r="J147" s="355"/>
      <c r="K147" s="598"/>
      <c r="L147" s="355"/>
      <c r="M147" s="355"/>
      <c r="N147" s="355"/>
      <c r="O147" s="355"/>
      <c r="R147" s="355"/>
      <c r="S147" s="355"/>
      <c r="T147" s="355"/>
      <c r="U147" s="355"/>
      <c r="V147" s="355"/>
      <c r="W147" s="355"/>
      <c r="X147" s="355"/>
      <c r="Y147" s="355"/>
      <c r="Z147" s="355"/>
      <c r="AA147" s="355"/>
      <c r="AB147" s="355"/>
      <c r="AC147" s="355"/>
      <c r="AD147" s="355"/>
      <c r="AE147" s="355"/>
      <c r="AF147" s="355"/>
      <c r="AG147" s="355"/>
      <c r="AH147" s="355"/>
    </row>
    <row r="148" spans="1:34" x14ac:dyDescent="0.2">
      <c r="A148" s="355"/>
      <c r="B148" s="355"/>
      <c r="C148" s="355"/>
      <c r="D148" s="355"/>
      <c r="E148" s="355"/>
      <c r="F148" s="355"/>
      <c r="G148" s="355"/>
      <c r="H148" s="355"/>
      <c r="I148" s="355"/>
      <c r="J148" s="355"/>
      <c r="K148" s="598"/>
      <c r="L148" s="355"/>
      <c r="M148" s="355"/>
      <c r="N148" s="355"/>
      <c r="O148" s="355"/>
      <c r="R148" s="355"/>
      <c r="S148" s="355"/>
      <c r="T148" s="355"/>
      <c r="U148" s="355"/>
      <c r="V148" s="355"/>
      <c r="W148" s="355"/>
      <c r="X148" s="355"/>
      <c r="Y148" s="355"/>
      <c r="Z148" s="355"/>
      <c r="AA148" s="355"/>
      <c r="AB148" s="355"/>
      <c r="AC148" s="355"/>
      <c r="AD148" s="355"/>
      <c r="AE148" s="355"/>
      <c r="AF148" s="355"/>
      <c r="AG148" s="355"/>
      <c r="AH148" s="355"/>
    </row>
    <row r="149" spans="1:34" x14ac:dyDescent="0.2">
      <c r="A149" s="355"/>
      <c r="B149" s="355"/>
      <c r="C149" s="355"/>
      <c r="D149" s="355"/>
      <c r="E149" s="355"/>
      <c r="F149" s="355"/>
      <c r="G149" s="355"/>
      <c r="H149" s="355"/>
      <c r="I149" s="355"/>
      <c r="J149" s="355"/>
      <c r="K149" s="598"/>
      <c r="L149" s="355"/>
      <c r="M149" s="355"/>
      <c r="N149" s="355"/>
      <c r="O149" s="355"/>
      <c r="R149" s="355"/>
      <c r="S149" s="355"/>
      <c r="T149" s="355"/>
      <c r="U149" s="355"/>
      <c r="V149" s="355"/>
      <c r="W149" s="355"/>
      <c r="X149" s="355"/>
      <c r="Y149" s="355"/>
      <c r="Z149" s="355"/>
      <c r="AA149" s="355"/>
      <c r="AB149" s="355"/>
      <c r="AC149" s="355"/>
      <c r="AD149" s="355"/>
      <c r="AE149" s="355"/>
      <c r="AF149" s="355"/>
      <c r="AG149" s="355"/>
      <c r="AH149" s="355"/>
    </row>
    <row r="150" spans="1:34" x14ac:dyDescent="0.2">
      <c r="A150" s="355"/>
      <c r="B150" s="355"/>
      <c r="C150" s="355"/>
      <c r="D150" s="355"/>
      <c r="E150" s="355"/>
      <c r="F150" s="355"/>
      <c r="G150" s="355"/>
      <c r="H150" s="355"/>
      <c r="I150" s="355"/>
      <c r="J150" s="355"/>
      <c r="K150" s="598"/>
      <c r="L150" s="355"/>
      <c r="M150" s="355"/>
      <c r="N150" s="355"/>
      <c r="O150" s="355"/>
      <c r="R150" s="355"/>
      <c r="S150" s="355"/>
      <c r="T150" s="355"/>
      <c r="U150" s="355"/>
      <c r="V150" s="355"/>
      <c r="W150" s="355"/>
      <c r="X150" s="355"/>
      <c r="Y150" s="355"/>
      <c r="Z150" s="355"/>
      <c r="AA150" s="355"/>
      <c r="AB150" s="355"/>
      <c r="AC150" s="355"/>
      <c r="AD150" s="355"/>
      <c r="AE150" s="355"/>
      <c r="AF150" s="355"/>
      <c r="AG150" s="355"/>
      <c r="AH150" s="355"/>
    </row>
    <row r="151" spans="1:34" x14ac:dyDescent="0.2">
      <c r="A151" s="355"/>
      <c r="B151" s="355"/>
      <c r="C151" s="355"/>
      <c r="D151" s="355"/>
      <c r="E151" s="355"/>
      <c r="F151" s="355"/>
      <c r="G151" s="355"/>
      <c r="H151" s="355"/>
      <c r="I151" s="355"/>
      <c r="J151" s="355"/>
      <c r="K151" s="598"/>
      <c r="L151" s="355"/>
      <c r="M151" s="355"/>
      <c r="N151" s="355"/>
      <c r="O151" s="355"/>
      <c r="R151" s="355"/>
      <c r="S151" s="355"/>
      <c r="T151" s="355"/>
      <c r="U151" s="355"/>
      <c r="V151" s="355"/>
      <c r="W151" s="355"/>
      <c r="X151" s="355"/>
      <c r="Y151" s="355"/>
      <c r="Z151" s="355"/>
      <c r="AA151" s="355"/>
      <c r="AB151" s="355"/>
      <c r="AC151" s="355"/>
      <c r="AD151" s="355"/>
      <c r="AE151" s="355"/>
      <c r="AF151" s="355"/>
      <c r="AG151" s="355"/>
      <c r="AH151" s="355"/>
    </row>
    <row r="152" spans="1:34" x14ac:dyDescent="0.2">
      <c r="A152" s="355"/>
      <c r="B152" s="355"/>
      <c r="C152" s="355"/>
      <c r="D152" s="355"/>
      <c r="E152" s="355"/>
      <c r="F152" s="355"/>
      <c r="G152" s="355"/>
      <c r="H152" s="355"/>
      <c r="I152" s="355"/>
      <c r="J152" s="355"/>
      <c r="K152" s="598"/>
      <c r="L152" s="355"/>
      <c r="M152" s="355"/>
      <c r="N152" s="355"/>
      <c r="O152" s="355"/>
      <c r="R152" s="355"/>
      <c r="S152" s="355"/>
      <c r="T152" s="355"/>
      <c r="U152" s="355"/>
      <c r="V152" s="355"/>
      <c r="W152" s="355"/>
      <c r="X152" s="355"/>
      <c r="Y152" s="355"/>
      <c r="Z152" s="355"/>
      <c r="AA152" s="355"/>
      <c r="AB152" s="355"/>
      <c r="AC152" s="355"/>
      <c r="AD152" s="355"/>
      <c r="AE152" s="355"/>
      <c r="AF152" s="355"/>
      <c r="AG152" s="355"/>
      <c r="AH152" s="355"/>
    </row>
    <row r="153" spans="1:34" x14ac:dyDescent="0.2">
      <c r="A153" s="355"/>
      <c r="B153" s="355"/>
      <c r="C153" s="355"/>
      <c r="D153" s="355"/>
      <c r="E153" s="355"/>
      <c r="F153" s="355"/>
      <c r="G153" s="355"/>
      <c r="H153" s="355"/>
      <c r="I153" s="355"/>
      <c r="J153" s="355"/>
      <c r="K153" s="598"/>
      <c r="L153" s="355"/>
      <c r="M153" s="355"/>
      <c r="N153" s="355"/>
      <c r="O153" s="355"/>
      <c r="R153" s="355"/>
      <c r="S153" s="355"/>
      <c r="T153" s="355"/>
      <c r="U153" s="355"/>
      <c r="V153" s="355"/>
      <c r="W153" s="355"/>
      <c r="X153" s="355"/>
      <c r="Y153" s="355"/>
      <c r="Z153" s="355"/>
      <c r="AA153" s="355"/>
      <c r="AB153" s="355"/>
      <c r="AC153" s="355"/>
      <c r="AD153" s="355"/>
      <c r="AE153" s="355"/>
      <c r="AF153" s="355"/>
      <c r="AG153" s="355"/>
      <c r="AH153" s="355"/>
    </row>
    <row r="154" spans="1:34" x14ac:dyDescent="0.2">
      <c r="A154" s="355"/>
      <c r="B154" s="355"/>
      <c r="C154" s="355"/>
      <c r="D154" s="355"/>
      <c r="E154" s="355"/>
      <c r="F154" s="355"/>
      <c r="G154" s="355"/>
      <c r="H154" s="355"/>
      <c r="I154" s="355"/>
      <c r="J154" s="355"/>
      <c r="K154" s="598"/>
      <c r="L154" s="355"/>
      <c r="M154" s="355"/>
      <c r="N154" s="355"/>
      <c r="O154" s="355"/>
      <c r="R154" s="355"/>
      <c r="S154" s="355"/>
      <c r="T154" s="355"/>
      <c r="U154" s="355"/>
      <c r="V154" s="355"/>
      <c r="W154" s="355"/>
      <c r="X154" s="355"/>
      <c r="Y154" s="355"/>
      <c r="Z154" s="355"/>
      <c r="AA154" s="355"/>
      <c r="AB154" s="355"/>
      <c r="AC154" s="355"/>
      <c r="AD154" s="355"/>
      <c r="AE154" s="355"/>
      <c r="AF154" s="355"/>
      <c r="AG154" s="355"/>
      <c r="AH154" s="355"/>
    </row>
    <row r="155" spans="1:34" x14ac:dyDescent="0.2">
      <c r="A155" s="355"/>
      <c r="B155" s="355"/>
      <c r="C155" s="355"/>
      <c r="D155" s="355"/>
      <c r="E155" s="355"/>
      <c r="F155" s="355"/>
      <c r="G155" s="355"/>
      <c r="H155" s="355"/>
      <c r="I155" s="355"/>
      <c r="J155" s="355"/>
      <c r="K155" s="598"/>
      <c r="L155" s="355"/>
      <c r="M155" s="355"/>
      <c r="N155" s="355"/>
      <c r="O155" s="355"/>
      <c r="R155" s="355"/>
      <c r="S155" s="355"/>
      <c r="T155" s="355"/>
      <c r="U155" s="355"/>
      <c r="V155" s="355"/>
      <c r="W155" s="355"/>
      <c r="X155" s="355"/>
      <c r="Y155" s="355"/>
      <c r="Z155" s="355"/>
      <c r="AA155" s="355"/>
      <c r="AB155" s="355"/>
      <c r="AC155" s="355"/>
      <c r="AD155" s="355"/>
      <c r="AE155" s="355"/>
      <c r="AF155" s="355"/>
      <c r="AG155" s="355"/>
      <c r="AH155" s="355"/>
    </row>
    <row r="156" spans="1:34" x14ac:dyDescent="0.2">
      <c r="A156" s="355"/>
      <c r="B156" s="355"/>
      <c r="C156" s="355"/>
      <c r="D156" s="355"/>
      <c r="E156" s="355"/>
      <c r="F156" s="355"/>
      <c r="G156" s="355"/>
      <c r="H156" s="355"/>
      <c r="I156" s="355"/>
      <c r="J156" s="355"/>
      <c r="K156" s="598"/>
      <c r="L156" s="355"/>
      <c r="M156" s="355"/>
      <c r="N156" s="355"/>
      <c r="O156" s="355"/>
      <c r="R156" s="355"/>
      <c r="S156" s="355"/>
      <c r="T156" s="355"/>
      <c r="U156" s="355"/>
      <c r="V156" s="355"/>
      <c r="W156" s="355"/>
      <c r="X156" s="355"/>
      <c r="Y156" s="355"/>
      <c r="Z156" s="355"/>
      <c r="AA156" s="355"/>
      <c r="AB156" s="355"/>
      <c r="AC156" s="355"/>
      <c r="AD156" s="355"/>
      <c r="AE156" s="355"/>
      <c r="AF156" s="355"/>
      <c r="AG156" s="355"/>
      <c r="AH156" s="355"/>
    </row>
    <row r="157" spans="1:34" x14ac:dyDescent="0.2">
      <c r="A157" s="355"/>
      <c r="B157" s="355"/>
      <c r="C157" s="355"/>
      <c r="D157" s="355"/>
      <c r="E157" s="355"/>
      <c r="F157" s="355"/>
      <c r="G157" s="355"/>
      <c r="H157" s="355"/>
      <c r="I157" s="355"/>
      <c r="J157" s="355"/>
      <c r="K157" s="598"/>
      <c r="L157" s="355"/>
      <c r="M157" s="355"/>
      <c r="N157" s="355"/>
      <c r="O157" s="355"/>
      <c r="R157" s="355"/>
      <c r="S157" s="355"/>
      <c r="T157" s="355"/>
      <c r="U157" s="355"/>
      <c r="V157" s="355"/>
      <c r="W157" s="355"/>
      <c r="X157" s="355"/>
      <c r="Y157" s="355"/>
      <c r="Z157" s="355"/>
      <c r="AA157" s="355"/>
      <c r="AB157" s="355"/>
      <c r="AC157" s="355"/>
      <c r="AD157" s="355"/>
      <c r="AE157" s="355"/>
      <c r="AF157" s="355"/>
      <c r="AG157" s="355"/>
      <c r="AH157" s="355"/>
    </row>
    <row r="158" spans="1:34" x14ac:dyDescent="0.2">
      <c r="A158" s="355"/>
      <c r="B158" s="355"/>
      <c r="C158" s="355"/>
      <c r="D158" s="355"/>
      <c r="E158" s="355"/>
      <c r="F158" s="355"/>
      <c r="G158" s="355"/>
      <c r="H158" s="355"/>
      <c r="I158" s="355"/>
      <c r="J158" s="355"/>
      <c r="K158" s="598"/>
      <c r="L158" s="355"/>
      <c r="M158" s="355"/>
      <c r="N158" s="355"/>
      <c r="O158" s="355"/>
      <c r="R158" s="355"/>
      <c r="S158" s="355"/>
      <c r="T158" s="355"/>
      <c r="U158" s="355"/>
      <c r="V158" s="355"/>
      <c r="W158" s="355"/>
      <c r="X158" s="355"/>
      <c r="Y158" s="355"/>
      <c r="Z158" s="355"/>
      <c r="AA158" s="355"/>
      <c r="AB158" s="355"/>
      <c r="AC158" s="355"/>
      <c r="AD158" s="355"/>
      <c r="AE158" s="355"/>
      <c r="AF158" s="355"/>
      <c r="AG158" s="355"/>
      <c r="AH158" s="355"/>
    </row>
    <row r="159" spans="1:34" x14ac:dyDescent="0.2">
      <c r="A159" s="355"/>
      <c r="B159" s="355"/>
      <c r="C159" s="355"/>
      <c r="D159" s="355"/>
      <c r="E159" s="355"/>
      <c r="F159" s="355"/>
      <c r="G159" s="355"/>
      <c r="H159" s="355"/>
      <c r="I159" s="355"/>
      <c r="J159" s="355"/>
      <c r="K159" s="598"/>
      <c r="L159" s="355"/>
      <c r="M159" s="355"/>
      <c r="N159" s="355"/>
      <c r="O159" s="355"/>
      <c r="R159" s="355"/>
      <c r="S159" s="355"/>
      <c r="T159" s="355"/>
      <c r="U159" s="355"/>
      <c r="V159" s="355"/>
      <c r="W159" s="355"/>
      <c r="X159" s="355"/>
      <c r="Y159" s="355"/>
      <c r="Z159" s="355"/>
      <c r="AA159" s="355"/>
      <c r="AB159" s="355"/>
      <c r="AC159" s="355"/>
      <c r="AD159" s="355"/>
      <c r="AE159" s="355"/>
      <c r="AF159" s="355"/>
      <c r="AG159" s="355"/>
      <c r="AH159" s="355"/>
    </row>
    <row r="160" spans="1:34" x14ac:dyDescent="0.2">
      <c r="A160" s="355"/>
      <c r="B160" s="355"/>
      <c r="C160" s="355"/>
      <c r="D160" s="355"/>
      <c r="E160" s="355"/>
      <c r="F160" s="355"/>
      <c r="G160" s="355"/>
      <c r="H160" s="355"/>
      <c r="I160" s="355"/>
      <c r="J160" s="355"/>
      <c r="K160" s="598"/>
      <c r="L160" s="355"/>
      <c r="M160" s="355"/>
      <c r="N160" s="355"/>
      <c r="O160" s="355"/>
      <c r="R160" s="355"/>
      <c r="S160" s="355"/>
      <c r="T160" s="355"/>
      <c r="U160" s="355"/>
      <c r="V160" s="355"/>
      <c r="W160" s="355"/>
      <c r="X160" s="355"/>
      <c r="Y160" s="355"/>
      <c r="Z160" s="355"/>
      <c r="AA160" s="355"/>
      <c r="AB160" s="355"/>
      <c r="AC160" s="355"/>
      <c r="AD160" s="355"/>
      <c r="AE160" s="355"/>
      <c r="AF160" s="355"/>
      <c r="AG160" s="355"/>
      <c r="AH160" s="355"/>
    </row>
    <row r="161" spans="1:34" x14ac:dyDescent="0.2">
      <c r="A161" s="355"/>
      <c r="B161" s="355"/>
      <c r="C161" s="355"/>
      <c r="D161" s="355"/>
      <c r="E161" s="355"/>
      <c r="F161" s="355"/>
      <c r="G161" s="355"/>
      <c r="H161" s="355"/>
      <c r="I161" s="355"/>
      <c r="J161" s="355"/>
      <c r="K161" s="598"/>
      <c r="L161" s="355"/>
      <c r="M161" s="355"/>
      <c r="N161" s="355"/>
      <c r="O161" s="355"/>
      <c r="R161" s="355"/>
      <c r="S161" s="355"/>
      <c r="T161" s="355"/>
      <c r="U161" s="355"/>
      <c r="V161" s="355"/>
      <c r="W161" s="355"/>
      <c r="X161" s="355"/>
      <c r="Y161" s="355"/>
      <c r="Z161" s="355"/>
      <c r="AA161" s="355"/>
      <c r="AB161" s="355"/>
      <c r="AC161" s="355"/>
      <c r="AD161" s="355"/>
      <c r="AE161" s="355"/>
      <c r="AF161" s="355"/>
      <c r="AG161" s="355"/>
      <c r="AH161" s="355"/>
    </row>
    <row r="162" spans="1:34" x14ac:dyDescent="0.2">
      <c r="A162" s="355"/>
      <c r="B162" s="355"/>
      <c r="C162" s="355"/>
      <c r="D162" s="355"/>
      <c r="E162" s="355"/>
      <c r="F162" s="355"/>
      <c r="G162" s="355"/>
      <c r="H162" s="355"/>
      <c r="I162" s="355"/>
      <c r="J162" s="355"/>
      <c r="K162" s="598"/>
      <c r="L162" s="355"/>
      <c r="M162" s="355"/>
      <c r="N162" s="355"/>
      <c r="O162" s="355"/>
      <c r="R162" s="355"/>
      <c r="S162" s="355"/>
      <c r="T162" s="355"/>
      <c r="U162" s="355"/>
      <c r="V162" s="355"/>
      <c r="W162" s="355"/>
      <c r="X162" s="355"/>
      <c r="Y162" s="355"/>
      <c r="Z162" s="355"/>
      <c r="AA162" s="355"/>
      <c r="AB162" s="355"/>
      <c r="AC162" s="355"/>
      <c r="AD162" s="355"/>
      <c r="AE162" s="355"/>
      <c r="AF162" s="355"/>
      <c r="AG162" s="355"/>
      <c r="AH162" s="355"/>
    </row>
    <row r="163" spans="1:34" x14ac:dyDescent="0.2">
      <c r="A163" s="355"/>
      <c r="B163" s="355"/>
      <c r="C163" s="355"/>
      <c r="D163" s="355"/>
      <c r="E163" s="355"/>
      <c r="F163" s="355"/>
      <c r="G163" s="355"/>
      <c r="H163" s="355"/>
      <c r="I163" s="355"/>
      <c r="J163" s="355"/>
      <c r="K163" s="598"/>
      <c r="L163" s="355"/>
      <c r="M163" s="355"/>
      <c r="N163" s="355"/>
      <c r="O163" s="355"/>
      <c r="R163" s="355"/>
      <c r="S163" s="355"/>
      <c r="T163" s="355"/>
      <c r="U163" s="355"/>
      <c r="V163" s="355"/>
      <c r="W163" s="355"/>
      <c r="X163" s="355"/>
      <c r="Y163" s="355"/>
      <c r="Z163" s="355"/>
      <c r="AA163" s="355"/>
      <c r="AB163" s="355"/>
      <c r="AC163" s="355"/>
      <c r="AD163" s="355"/>
      <c r="AE163" s="355"/>
      <c r="AF163" s="355"/>
      <c r="AG163" s="355"/>
      <c r="AH163" s="355"/>
    </row>
    <row r="164" spans="1:34" x14ac:dyDescent="0.2">
      <c r="A164" s="355"/>
      <c r="B164" s="355"/>
      <c r="C164" s="355"/>
      <c r="D164" s="355"/>
      <c r="E164" s="355"/>
      <c r="F164" s="355"/>
      <c r="G164" s="355"/>
      <c r="H164" s="355"/>
      <c r="I164" s="355"/>
      <c r="J164" s="355"/>
      <c r="K164" s="598"/>
      <c r="L164" s="355"/>
      <c r="M164" s="355"/>
      <c r="N164" s="355"/>
      <c r="O164" s="355"/>
      <c r="R164" s="355"/>
      <c r="S164" s="355"/>
      <c r="T164" s="355"/>
      <c r="U164" s="355"/>
      <c r="V164" s="355"/>
      <c r="W164" s="355"/>
      <c r="X164" s="355"/>
      <c r="Y164" s="355"/>
      <c r="Z164" s="355"/>
      <c r="AA164" s="355"/>
      <c r="AB164" s="355"/>
      <c r="AC164" s="355"/>
      <c r="AD164" s="355"/>
      <c r="AE164" s="355"/>
      <c r="AF164" s="355"/>
      <c r="AG164" s="355"/>
      <c r="AH164" s="355"/>
    </row>
    <row r="165" spans="1:34" x14ac:dyDescent="0.2">
      <c r="A165" s="355"/>
      <c r="B165" s="355"/>
      <c r="C165" s="355"/>
      <c r="D165" s="355"/>
      <c r="E165" s="355"/>
      <c r="F165" s="355"/>
      <c r="G165" s="355"/>
      <c r="H165" s="355"/>
      <c r="I165" s="355"/>
      <c r="J165" s="355"/>
      <c r="K165" s="598"/>
      <c r="L165" s="355"/>
      <c r="M165" s="355"/>
      <c r="N165" s="355"/>
      <c r="O165" s="355"/>
      <c r="R165" s="355"/>
      <c r="S165" s="355"/>
      <c r="T165" s="355"/>
      <c r="U165" s="355"/>
      <c r="V165" s="355"/>
      <c r="W165" s="355"/>
      <c r="X165" s="355"/>
      <c r="Y165" s="355"/>
      <c r="Z165" s="355"/>
      <c r="AA165" s="355"/>
      <c r="AB165" s="355"/>
      <c r="AC165" s="355"/>
      <c r="AD165" s="355"/>
      <c r="AE165" s="355"/>
      <c r="AF165" s="355"/>
      <c r="AG165" s="355"/>
      <c r="AH165" s="355"/>
    </row>
    <row r="166" spans="1:34" x14ac:dyDescent="0.2">
      <c r="A166" s="355"/>
      <c r="B166" s="355"/>
      <c r="C166" s="355"/>
      <c r="D166" s="355"/>
      <c r="E166" s="355"/>
      <c r="F166" s="355"/>
      <c r="G166" s="355"/>
      <c r="H166" s="355"/>
      <c r="I166" s="355"/>
      <c r="J166" s="355"/>
      <c r="K166" s="598"/>
      <c r="L166" s="355"/>
      <c r="M166" s="355"/>
      <c r="N166" s="355"/>
      <c r="O166" s="355"/>
      <c r="R166" s="355"/>
      <c r="S166" s="355"/>
      <c r="T166" s="355"/>
      <c r="U166" s="355"/>
      <c r="V166" s="355"/>
      <c r="W166" s="355"/>
      <c r="X166" s="355"/>
      <c r="Y166" s="355"/>
      <c r="Z166" s="355"/>
      <c r="AA166" s="355"/>
      <c r="AB166" s="355"/>
      <c r="AC166" s="355"/>
      <c r="AD166" s="355"/>
      <c r="AE166" s="355"/>
      <c r="AF166" s="355"/>
      <c r="AG166" s="355"/>
      <c r="AH166" s="355"/>
    </row>
    <row r="167" spans="1:34" x14ac:dyDescent="0.2">
      <c r="A167" s="355"/>
      <c r="B167" s="355"/>
      <c r="C167" s="355"/>
      <c r="D167" s="355"/>
      <c r="E167" s="355"/>
      <c r="F167" s="355"/>
      <c r="G167" s="355"/>
      <c r="H167" s="355"/>
      <c r="I167" s="355"/>
      <c r="J167" s="355"/>
      <c r="K167" s="598"/>
      <c r="L167" s="355"/>
      <c r="M167" s="355"/>
      <c r="N167" s="355"/>
      <c r="O167" s="355"/>
      <c r="R167" s="355"/>
      <c r="S167" s="355"/>
      <c r="T167" s="355"/>
      <c r="U167" s="355"/>
      <c r="V167" s="355"/>
      <c r="W167" s="355"/>
      <c r="X167" s="355"/>
      <c r="Y167" s="355"/>
      <c r="Z167" s="355"/>
      <c r="AA167" s="355"/>
      <c r="AB167" s="355"/>
      <c r="AC167" s="355"/>
      <c r="AD167" s="355"/>
      <c r="AE167" s="355"/>
      <c r="AF167" s="355"/>
      <c r="AG167" s="355"/>
      <c r="AH167" s="355"/>
    </row>
    <row r="168" spans="1:34" x14ac:dyDescent="0.2">
      <c r="A168" s="355"/>
      <c r="B168" s="355"/>
      <c r="C168" s="355"/>
      <c r="D168" s="355"/>
      <c r="E168" s="355"/>
      <c r="F168" s="355"/>
      <c r="G168" s="355"/>
      <c r="H168" s="355"/>
      <c r="I168" s="355"/>
      <c r="J168" s="355"/>
      <c r="K168" s="598"/>
      <c r="L168" s="355"/>
      <c r="M168" s="355"/>
      <c r="N168" s="355"/>
      <c r="O168" s="355"/>
      <c r="R168" s="355"/>
      <c r="S168" s="355"/>
      <c r="T168" s="355"/>
      <c r="U168" s="355"/>
      <c r="V168" s="355"/>
      <c r="W168" s="355"/>
      <c r="X168" s="355"/>
      <c r="Y168" s="355"/>
      <c r="Z168" s="355"/>
      <c r="AA168" s="355"/>
      <c r="AB168" s="355"/>
      <c r="AC168" s="355"/>
      <c r="AD168" s="355"/>
      <c r="AE168" s="355"/>
      <c r="AF168" s="355"/>
      <c r="AG168" s="355"/>
      <c r="AH168" s="355"/>
    </row>
    <row r="169" spans="1:34" x14ac:dyDescent="0.2">
      <c r="A169" s="355"/>
      <c r="B169" s="355"/>
      <c r="C169" s="355"/>
      <c r="D169" s="355"/>
      <c r="E169" s="355"/>
      <c r="F169" s="355"/>
      <c r="G169" s="355"/>
      <c r="H169" s="355"/>
      <c r="I169" s="355"/>
      <c r="J169" s="355"/>
      <c r="K169" s="598"/>
      <c r="L169" s="355"/>
      <c r="M169" s="355"/>
      <c r="N169" s="355"/>
      <c r="O169" s="355"/>
      <c r="R169" s="355"/>
      <c r="S169" s="355"/>
      <c r="T169" s="355"/>
      <c r="U169" s="355"/>
      <c r="V169" s="355"/>
      <c r="W169" s="355"/>
      <c r="X169" s="355"/>
      <c r="Y169" s="355"/>
      <c r="Z169" s="355"/>
      <c r="AA169" s="355"/>
      <c r="AB169" s="355"/>
      <c r="AC169" s="355"/>
      <c r="AD169" s="355"/>
      <c r="AE169" s="355"/>
      <c r="AF169" s="355"/>
      <c r="AG169" s="355"/>
      <c r="AH169" s="355"/>
    </row>
    <row r="170" spans="1:34" x14ac:dyDescent="0.2">
      <c r="A170" s="355"/>
      <c r="B170" s="355"/>
      <c r="C170" s="355"/>
      <c r="D170" s="355"/>
      <c r="E170" s="355"/>
      <c r="F170" s="355"/>
      <c r="G170" s="355"/>
      <c r="H170" s="355"/>
      <c r="I170" s="355"/>
      <c r="J170" s="355"/>
      <c r="K170" s="598"/>
      <c r="L170" s="355"/>
      <c r="M170" s="355"/>
      <c r="N170" s="355"/>
      <c r="O170" s="355"/>
      <c r="R170" s="355"/>
      <c r="S170" s="355"/>
      <c r="T170" s="355"/>
      <c r="U170" s="355"/>
      <c r="V170" s="355"/>
      <c r="W170" s="355"/>
      <c r="X170" s="355"/>
      <c r="Y170" s="355"/>
      <c r="Z170" s="355"/>
      <c r="AA170" s="355"/>
      <c r="AB170" s="355"/>
      <c r="AC170" s="355"/>
      <c r="AD170" s="355"/>
      <c r="AE170" s="355"/>
      <c r="AF170" s="355"/>
      <c r="AG170" s="355"/>
      <c r="AH170" s="355"/>
    </row>
    <row r="171" spans="1:34" x14ac:dyDescent="0.2">
      <c r="A171" s="355"/>
      <c r="B171" s="355"/>
      <c r="C171" s="355"/>
      <c r="D171" s="355"/>
      <c r="E171" s="355"/>
      <c r="F171" s="355"/>
      <c r="G171" s="355"/>
      <c r="H171" s="355"/>
      <c r="I171" s="355"/>
      <c r="J171" s="355"/>
      <c r="K171" s="598"/>
      <c r="L171" s="355"/>
      <c r="M171" s="355"/>
      <c r="N171" s="355"/>
      <c r="O171" s="355"/>
      <c r="R171" s="355"/>
      <c r="S171" s="355"/>
      <c r="T171" s="355"/>
      <c r="U171" s="355"/>
      <c r="V171" s="355"/>
      <c r="W171" s="355"/>
      <c r="X171" s="355"/>
      <c r="Y171" s="355"/>
      <c r="Z171" s="355"/>
      <c r="AA171" s="355"/>
      <c r="AB171" s="355"/>
      <c r="AC171" s="355"/>
      <c r="AD171" s="355"/>
      <c r="AE171" s="355"/>
      <c r="AF171" s="355"/>
      <c r="AG171" s="355"/>
      <c r="AH171" s="355"/>
    </row>
    <row r="172" spans="1:34" x14ac:dyDescent="0.2">
      <c r="A172" s="355"/>
      <c r="B172" s="355"/>
      <c r="C172" s="355"/>
      <c r="D172" s="355"/>
      <c r="E172" s="355"/>
      <c r="F172" s="355"/>
      <c r="G172" s="355"/>
      <c r="H172" s="355"/>
      <c r="I172" s="355"/>
      <c r="J172" s="355"/>
      <c r="K172" s="598"/>
      <c r="L172" s="355"/>
      <c r="M172" s="355"/>
      <c r="N172" s="355"/>
      <c r="O172" s="355"/>
      <c r="R172" s="355"/>
      <c r="S172" s="355"/>
      <c r="T172" s="355"/>
      <c r="U172" s="355"/>
      <c r="V172" s="355"/>
      <c r="W172" s="355"/>
      <c r="X172" s="355"/>
      <c r="Y172" s="355"/>
      <c r="Z172" s="355"/>
      <c r="AA172" s="355"/>
      <c r="AB172" s="355"/>
      <c r="AC172" s="355"/>
      <c r="AD172" s="355"/>
      <c r="AE172" s="355"/>
      <c r="AF172" s="355"/>
      <c r="AG172" s="355"/>
      <c r="AH172" s="355"/>
    </row>
    <row r="173" spans="1:34" x14ac:dyDescent="0.2">
      <c r="A173" s="355"/>
      <c r="B173" s="355"/>
      <c r="C173" s="355"/>
      <c r="D173" s="355"/>
      <c r="E173" s="355"/>
      <c r="F173" s="355"/>
      <c r="G173" s="355"/>
      <c r="H173" s="355"/>
      <c r="I173" s="355"/>
      <c r="J173" s="355"/>
      <c r="K173" s="598"/>
      <c r="L173" s="355"/>
      <c r="M173" s="355"/>
      <c r="N173" s="355"/>
      <c r="O173" s="355"/>
      <c r="R173" s="355"/>
      <c r="S173" s="355"/>
      <c r="T173" s="355"/>
      <c r="U173" s="355"/>
      <c r="V173" s="355"/>
      <c r="W173" s="355"/>
      <c r="X173" s="355"/>
      <c r="Y173" s="355"/>
      <c r="Z173" s="355"/>
      <c r="AA173" s="355"/>
      <c r="AB173" s="355"/>
      <c r="AC173" s="355"/>
      <c r="AD173" s="355"/>
      <c r="AE173" s="355"/>
      <c r="AF173" s="355"/>
      <c r="AG173" s="355"/>
      <c r="AH173" s="355"/>
    </row>
    <row r="174" spans="1:34" x14ac:dyDescent="0.2">
      <c r="A174" s="355"/>
      <c r="B174" s="355"/>
      <c r="C174" s="355"/>
      <c r="D174" s="355"/>
      <c r="E174" s="355"/>
      <c r="F174" s="355"/>
      <c r="G174" s="355"/>
      <c r="H174" s="355"/>
      <c r="I174" s="355"/>
      <c r="J174" s="355"/>
      <c r="K174" s="598"/>
      <c r="L174" s="355"/>
      <c r="M174" s="355"/>
      <c r="N174" s="355"/>
      <c r="O174" s="355"/>
      <c r="R174" s="355"/>
      <c r="S174" s="355"/>
      <c r="T174" s="355"/>
      <c r="U174" s="355"/>
      <c r="V174" s="355"/>
      <c r="W174" s="355"/>
      <c r="X174" s="355"/>
      <c r="Y174" s="355"/>
      <c r="Z174" s="355"/>
      <c r="AA174" s="355"/>
      <c r="AB174" s="355"/>
      <c r="AC174" s="355"/>
      <c r="AD174" s="355"/>
      <c r="AE174" s="355"/>
      <c r="AF174" s="355"/>
      <c r="AG174" s="355"/>
      <c r="AH174" s="355"/>
    </row>
    <row r="175" spans="1:34" x14ac:dyDescent="0.2">
      <c r="A175" s="355"/>
      <c r="B175" s="355"/>
      <c r="C175" s="355"/>
      <c r="D175" s="355"/>
      <c r="E175" s="355"/>
      <c r="F175" s="355"/>
      <c r="G175" s="355"/>
      <c r="H175" s="355"/>
      <c r="I175" s="355"/>
      <c r="J175" s="355"/>
      <c r="K175" s="598"/>
      <c r="L175" s="355"/>
      <c r="M175" s="355"/>
      <c r="N175" s="355"/>
      <c r="O175" s="355"/>
      <c r="R175" s="355"/>
      <c r="S175" s="355"/>
      <c r="T175" s="355"/>
      <c r="U175" s="355"/>
      <c r="V175" s="355"/>
      <c r="W175" s="355"/>
      <c r="X175" s="355"/>
      <c r="Y175" s="355"/>
      <c r="Z175" s="355"/>
      <c r="AA175" s="355"/>
      <c r="AB175" s="355"/>
      <c r="AC175" s="355"/>
      <c r="AD175" s="355"/>
      <c r="AE175" s="355"/>
      <c r="AF175" s="355"/>
      <c r="AG175" s="355"/>
      <c r="AH175" s="355"/>
    </row>
    <row r="176" spans="1:34" x14ac:dyDescent="0.2">
      <c r="A176" s="355"/>
      <c r="B176" s="355"/>
      <c r="C176" s="355"/>
      <c r="D176" s="355"/>
      <c r="E176" s="355"/>
      <c r="F176" s="355"/>
      <c r="G176" s="355"/>
      <c r="H176" s="355"/>
      <c r="I176" s="355"/>
      <c r="J176" s="355"/>
      <c r="K176" s="598"/>
      <c r="L176" s="355"/>
      <c r="M176" s="355"/>
      <c r="N176" s="355"/>
      <c r="O176" s="355"/>
      <c r="R176" s="355"/>
      <c r="S176" s="355"/>
      <c r="T176" s="355"/>
      <c r="U176" s="355"/>
      <c r="V176" s="355"/>
      <c r="W176" s="355"/>
      <c r="X176" s="355"/>
      <c r="Y176" s="355"/>
      <c r="Z176" s="355"/>
      <c r="AA176" s="355"/>
      <c r="AB176" s="355"/>
      <c r="AC176" s="355"/>
      <c r="AD176" s="355"/>
      <c r="AE176" s="355"/>
      <c r="AF176" s="355"/>
      <c r="AG176" s="355"/>
      <c r="AH176" s="355"/>
    </row>
    <row r="177" spans="1:34" x14ac:dyDescent="0.2">
      <c r="A177" s="355"/>
      <c r="B177" s="355"/>
      <c r="C177" s="355"/>
      <c r="D177" s="355"/>
      <c r="E177" s="355"/>
      <c r="F177" s="355"/>
      <c r="G177" s="355"/>
      <c r="H177" s="355"/>
      <c r="I177" s="355"/>
      <c r="J177" s="355"/>
      <c r="K177" s="598"/>
      <c r="L177" s="355"/>
      <c r="M177" s="355"/>
      <c r="N177" s="355"/>
      <c r="O177" s="355"/>
      <c r="R177" s="355"/>
      <c r="S177" s="355"/>
      <c r="T177" s="355"/>
      <c r="U177" s="355"/>
      <c r="V177" s="355"/>
      <c r="W177" s="355"/>
      <c r="X177" s="355"/>
      <c r="Y177" s="355"/>
      <c r="Z177" s="355"/>
      <c r="AA177" s="355"/>
      <c r="AB177" s="355"/>
      <c r="AC177" s="355"/>
      <c r="AD177" s="355"/>
      <c r="AE177" s="355"/>
      <c r="AF177" s="355"/>
      <c r="AG177" s="355"/>
      <c r="AH177" s="355"/>
    </row>
    <row r="178" spans="1:34" x14ac:dyDescent="0.2">
      <c r="A178" s="355"/>
      <c r="B178" s="355"/>
      <c r="C178" s="355"/>
      <c r="D178" s="355"/>
      <c r="E178" s="355"/>
      <c r="F178" s="355"/>
      <c r="G178" s="355"/>
      <c r="H178" s="355"/>
      <c r="I178" s="355"/>
      <c r="J178" s="355"/>
      <c r="K178" s="598"/>
      <c r="L178" s="355"/>
      <c r="M178" s="355"/>
      <c r="N178" s="355"/>
      <c r="O178" s="355"/>
      <c r="R178" s="355"/>
      <c r="S178" s="355"/>
      <c r="T178" s="355"/>
      <c r="U178" s="355"/>
      <c r="V178" s="355"/>
      <c r="W178" s="355"/>
      <c r="X178" s="355"/>
      <c r="Y178" s="355"/>
      <c r="Z178" s="355"/>
      <c r="AA178" s="355"/>
      <c r="AB178" s="355"/>
      <c r="AC178" s="355"/>
      <c r="AD178" s="355"/>
      <c r="AE178" s="355"/>
      <c r="AF178" s="355"/>
      <c r="AG178" s="355"/>
      <c r="AH178" s="355"/>
    </row>
    <row r="179" spans="1:34" x14ac:dyDescent="0.2">
      <c r="A179" s="355"/>
      <c r="B179" s="355"/>
      <c r="C179" s="355"/>
      <c r="D179" s="355"/>
      <c r="E179" s="355"/>
      <c r="F179" s="355"/>
      <c r="G179" s="355"/>
      <c r="H179" s="355"/>
      <c r="I179" s="355"/>
      <c r="J179" s="355"/>
      <c r="K179" s="598"/>
      <c r="L179" s="355"/>
      <c r="M179" s="355"/>
      <c r="N179" s="355"/>
      <c r="O179" s="355"/>
      <c r="R179" s="355"/>
      <c r="S179" s="355"/>
      <c r="T179" s="355"/>
      <c r="U179" s="355"/>
      <c r="V179" s="355"/>
      <c r="W179" s="355"/>
      <c r="X179" s="355"/>
      <c r="Y179" s="355"/>
      <c r="Z179" s="355"/>
      <c r="AA179" s="355"/>
      <c r="AB179" s="355"/>
      <c r="AC179" s="355"/>
      <c r="AD179" s="355"/>
      <c r="AE179" s="355"/>
      <c r="AF179" s="355"/>
      <c r="AG179" s="355"/>
      <c r="AH179" s="355"/>
    </row>
    <row r="180" spans="1:34" x14ac:dyDescent="0.2">
      <c r="A180" s="355"/>
      <c r="B180" s="355"/>
      <c r="C180" s="355"/>
      <c r="D180" s="355"/>
      <c r="E180" s="355"/>
      <c r="F180" s="355"/>
      <c r="G180" s="355"/>
      <c r="H180" s="355"/>
      <c r="I180" s="355"/>
      <c r="J180" s="355"/>
      <c r="K180" s="598"/>
      <c r="L180" s="355"/>
      <c r="M180" s="355"/>
      <c r="N180" s="355"/>
      <c r="O180" s="355"/>
      <c r="R180" s="355"/>
      <c r="S180" s="355"/>
      <c r="T180" s="355"/>
      <c r="U180" s="355"/>
      <c r="V180" s="355"/>
      <c r="W180" s="355"/>
      <c r="X180" s="355"/>
      <c r="Y180" s="355"/>
      <c r="Z180" s="355"/>
      <c r="AA180" s="355"/>
      <c r="AB180" s="355"/>
      <c r="AC180" s="355"/>
      <c r="AD180" s="355"/>
      <c r="AE180" s="355"/>
      <c r="AF180" s="355"/>
      <c r="AG180" s="355"/>
      <c r="AH180" s="355"/>
    </row>
    <row r="181" spans="1:34" x14ac:dyDescent="0.2">
      <c r="A181" s="355"/>
      <c r="B181" s="355"/>
      <c r="C181" s="355"/>
      <c r="D181" s="355"/>
      <c r="E181" s="355"/>
      <c r="F181" s="355"/>
      <c r="G181" s="355"/>
      <c r="H181" s="355"/>
      <c r="I181" s="355"/>
      <c r="J181" s="355"/>
      <c r="K181" s="598"/>
      <c r="L181" s="355"/>
      <c r="M181" s="355"/>
      <c r="N181" s="355"/>
      <c r="O181" s="355"/>
      <c r="R181" s="355"/>
      <c r="S181" s="355"/>
      <c r="T181" s="355"/>
      <c r="U181" s="355"/>
      <c r="V181" s="355"/>
      <c r="W181" s="355"/>
      <c r="X181" s="355"/>
      <c r="Y181" s="355"/>
      <c r="Z181" s="355"/>
      <c r="AA181" s="355"/>
      <c r="AB181" s="355"/>
      <c r="AC181" s="355"/>
      <c r="AD181" s="355"/>
      <c r="AE181" s="355"/>
      <c r="AF181" s="355"/>
      <c r="AG181" s="355"/>
      <c r="AH181" s="355"/>
    </row>
    <row r="182" spans="1:34" x14ac:dyDescent="0.2">
      <c r="A182" s="355"/>
      <c r="B182" s="355"/>
      <c r="C182" s="355"/>
      <c r="D182" s="355"/>
      <c r="E182" s="355"/>
      <c r="F182" s="355"/>
      <c r="G182" s="355"/>
      <c r="H182" s="355"/>
      <c r="I182" s="355"/>
      <c r="J182" s="355"/>
      <c r="K182" s="598"/>
      <c r="L182" s="355"/>
      <c r="M182" s="355"/>
      <c r="N182" s="355"/>
      <c r="O182" s="355"/>
      <c r="R182" s="355"/>
      <c r="S182" s="355"/>
      <c r="T182" s="355"/>
      <c r="U182" s="355"/>
      <c r="V182" s="355"/>
      <c r="W182" s="355"/>
      <c r="X182" s="355"/>
      <c r="Y182" s="355"/>
      <c r="Z182" s="355"/>
      <c r="AA182" s="355"/>
      <c r="AB182" s="355"/>
      <c r="AC182" s="355"/>
      <c r="AD182" s="355"/>
      <c r="AE182" s="355"/>
      <c r="AF182" s="355"/>
      <c r="AG182" s="355"/>
      <c r="AH182" s="355"/>
    </row>
    <row r="183" spans="1:34" x14ac:dyDescent="0.2">
      <c r="A183" s="355"/>
      <c r="B183" s="355"/>
      <c r="C183" s="355"/>
      <c r="D183" s="355"/>
      <c r="E183" s="355"/>
      <c r="F183" s="355"/>
      <c r="G183" s="355"/>
      <c r="H183" s="355"/>
      <c r="I183" s="355"/>
      <c r="J183" s="355"/>
      <c r="K183" s="598"/>
      <c r="L183" s="355"/>
      <c r="M183" s="355"/>
      <c r="N183" s="355"/>
      <c r="O183" s="355"/>
      <c r="R183" s="355"/>
      <c r="S183" s="355"/>
      <c r="T183" s="355"/>
      <c r="U183" s="355"/>
      <c r="V183" s="355"/>
      <c r="W183" s="355"/>
      <c r="X183" s="355"/>
      <c r="Y183" s="355"/>
      <c r="Z183" s="355"/>
      <c r="AA183" s="355"/>
      <c r="AB183" s="355"/>
      <c r="AC183" s="355"/>
      <c r="AD183" s="355"/>
      <c r="AE183" s="355"/>
      <c r="AF183" s="355"/>
      <c r="AG183" s="355"/>
      <c r="AH183" s="355"/>
    </row>
    <row r="184" spans="1:34" x14ac:dyDescent="0.2">
      <c r="A184" s="355"/>
      <c r="B184" s="355"/>
      <c r="C184" s="355"/>
      <c r="D184" s="355"/>
      <c r="E184" s="355"/>
      <c r="F184" s="355"/>
      <c r="G184" s="355"/>
      <c r="H184" s="355"/>
      <c r="I184" s="355"/>
      <c r="J184" s="355"/>
      <c r="K184" s="598"/>
      <c r="L184" s="355"/>
      <c r="M184" s="355"/>
      <c r="N184" s="355"/>
      <c r="O184" s="355"/>
      <c r="R184" s="355"/>
      <c r="S184" s="355"/>
      <c r="T184" s="355"/>
      <c r="U184" s="355"/>
      <c r="V184" s="355"/>
      <c r="W184" s="355"/>
      <c r="X184" s="355"/>
      <c r="Y184" s="355"/>
      <c r="Z184" s="355"/>
      <c r="AA184" s="355"/>
      <c r="AB184" s="355"/>
      <c r="AC184" s="355"/>
      <c r="AD184" s="355"/>
      <c r="AE184" s="355"/>
      <c r="AF184" s="355"/>
      <c r="AG184" s="355"/>
      <c r="AH184" s="355"/>
    </row>
    <row r="185" spans="1:34" x14ac:dyDescent="0.2">
      <c r="A185" s="355"/>
      <c r="B185" s="355"/>
      <c r="C185" s="355"/>
      <c r="D185" s="355"/>
      <c r="E185" s="355"/>
      <c r="F185" s="355"/>
      <c r="G185" s="355"/>
      <c r="H185" s="355"/>
      <c r="I185" s="355"/>
      <c r="J185" s="355"/>
      <c r="K185" s="598"/>
      <c r="L185" s="355"/>
      <c r="M185" s="355"/>
      <c r="N185" s="355"/>
      <c r="O185" s="355"/>
      <c r="R185" s="355"/>
      <c r="S185" s="355"/>
      <c r="T185" s="355"/>
      <c r="U185" s="355"/>
      <c r="V185" s="355"/>
      <c r="W185" s="355"/>
      <c r="X185" s="355"/>
      <c r="Y185" s="355"/>
      <c r="Z185" s="355"/>
      <c r="AA185" s="355"/>
      <c r="AB185" s="355"/>
      <c r="AC185" s="355"/>
      <c r="AD185" s="355"/>
      <c r="AE185" s="355"/>
      <c r="AF185" s="355"/>
      <c r="AG185" s="355"/>
      <c r="AH185" s="355"/>
    </row>
    <row r="186" spans="1:34" x14ac:dyDescent="0.2">
      <c r="A186" s="355"/>
      <c r="B186" s="355"/>
      <c r="C186" s="355"/>
      <c r="D186" s="355"/>
      <c r="E186" s="355"/>
      <c r="F186" s="355"/>
      <c r="G186" s="355"/>
      <c r="H186" s="355"/>
      <c r="I186" s="355"/>
      <c r="J186" s="355"/>
      <c r="K186" s="598"/>
      <c r="L186" s="355"/>
      <c r="M186" s="355"/>
      <c r="N186" s="355"/>
      <c r="O186" s="355"/>
      <c r="R186" s="355"/>
      <c r="S186" s="355"/>
      <c r="T186" s="355"/>
      <c r="U186" s="355"/>
      <c r="V186" s="355"/>
      <c r="W186" s="355"/>
      <c r="X186" s="355"/>
      <c r="Y186" s="355"/>
      <c r="Z186" s="355"/>
      <c r="AA186" s="355"/>
      <c r="AB186" s="355"/>
      <c r="AC186" s="355"/>
      <c r="AD186" s="355"/>
      <c r="AE186" s="355"/>
      <c r="AF186" s="355"/>
      <c r="AG186" s="355"/>
      <c r="AH186" s="355"/>
    </row>
    <row r="187" spans="1:34" x14ac:dyDescent="0.2">
      <c r="A187" s="355"/>
      <c r="B187" s="355"/>
      <c r="C187" s="355"/>
      <c r="D187" s="355"/>
      <c r="E187" s="355"/>
      <c r="F187" s="355"/>
      <c r="G187" s="355"/>
      <c r="H187" s="355"/>
      <c r="I187" s="355"/>
      <c r="J187" s="355"/>
      <c r="K187" s="598"/>
      <c r="L187" s="355"/>
      <c r="M187" s="355"/>
      <c r="N187" s="355"/>
      <c r="O187" s="355"/>
      <c r="R187" s="355"/>
      <c r="S187" s="355"/>
      <c r="T187" s="355"/>
      <c r="U187" s="355"/>
      <c r="V187" s="355"/>
      <c r="W187" s="355"/>
      <c r="X187" s="355"/>
      <c r="Y187" s="355"/>
      <c r="Z187" s="355"/>
      <c r="AA187" s="355"/>
      <c r="AB187" s="355"/>
      <c r="AC187" s="355"/>
      <c r="AD187" s="355"/>
      <c r="AE187" s="355"/>
      <c r="AF187" s="355"/>
      <c r="AG187" s="355"/>
      <c r="AH187" s="355"/>
    </row>
    <row r="188" spans="1:34" x14ac:dyDescent="0.2">
      <c r="A188" s="355"/>
      <c r="B188" s="355"/>
      <c r="C188" s="355"/>
      <c r="D188" s="355"/>
      <c r="E188" s="355"/>
      <c r="F188" s="355"/>
      <c r="G188" s="355"/>
      <c r="H188" s="355"/>
      <c r="I188" s="355"/>
      <c r="J188" s="355"/>
      <c r="K188" s="598"/>
      <c r="L188" s="355"/>
      <c r="M188" s="355"/>
      <c r="N188" s="355"/>
      <c r="O188" s="355"/>
      <c r="R188" s="355"/>
      <c r="S188" s="355"/>
      <c r="T188" s="355"/>
      <c r="U188" s="355"/>
      <c r="V188" s="355"/>
      <c r="W188" s="355"/>
      <c r="X188" s="355"/>
      <c r="Y188" s="355"/>
      <c r="Z188" s="355"/>
      <c r="AA188" s="355"/>
      <c r="AB188" s="355"/>
      <c r="AC188" s="355"/>
      <c r="AD188" s="355"/>
      <c r="AE188" s="355"/>
      <c r="AF188" s="355"/>
      <c r="AG188" s="355"/>
      <c r="AH188" s="355"/>
    </row>
    <row r="189" spans="1:34" x14ac:dyDescent="0.2">
      <c r="A189" s="355"/>
      <c r="B189" s="355"/>
      <c r="C189" s="355"/>
      <c r="D189" s="355"/>
      <c r="E189" s="355"/>
      <c r="F189" s="355"/>
      <c r="G189" s="355"/>
      <c r="H189" s="355"/>
      <c r="I189" s="355"/>
      <c r="J189" s="355"/>
      <c r="K189" s="598"/>
      <c r="L189" s="355"/>
      <c r="M189" s="355"/>
      <c r="N189" s="355"/>
      <c r="O189" s="355"/>
      <c r="R189" s="355"/>
      <c r="S189" s="355"/>
      <c r="T189" s="355"/>
      <c r="U189" s="355"/>
      <c r="V189" s="355"/>
      <c r="W189" s="355"/>
      <c r="X189" s="355"/>
      <c r="Y189" s="355"/>
      <c r="Z189" s="355"/>
      <c r="AA189" s="355"/>
      <c r="AB189" s="355"/>
      <c r="AC189" s="355"/>
      <c r="AD189" s="355"/>
      <c r="AE189" s="355"/>
      <c r="AF189" s="355"/>
      <c r="AG189" s="355"/>
      <c r="AH189" s="355"/>
    </row>
    <row r="190" spans="1:34" x14ac:dyDescent="0.2">
      <c r="A190" s="355"/>
      <c r="B190" s="355"/>
      <c r="C190" s="355"/>
      <c r="D190" s="355"/>
      <c r="E190" s="355"/>
      <c r="F190" s="355"/>
      <c r="G190" s="355"/>
      <c r="H190" s="355"/>
      <c r="I190" s="355"/>
      <c r="J190" s="355"/>
      <c r="K190" s="598"/>
      <c r="L190" s="355"/>
      <c r="M190" s="355"/>
      <c r="N190" s="355"/>
      <c r="O190" s="355"/>
      <c r="R190" s="355"/>
      <c r="S190" s="355"/>
      <c r="T190" s="355"/>
      <c r="U190" s="355"/>
      <c r="V190" s="355"/>
      <c r="W190" s="355"/>
      <c r="X190" s="355"/>
      <c r="Y190" s="355"/>
      <c r="Z190" s="355"/>
      <c r="AA190" s="355"/>
      <c r="AB190" s="355"/>
      <c r="AC190" s="355"/>
      <c r="AD190" s="355"/>
      <c r="AE190" s="355"/>
      <c r="AF190" s="355"/>
      <c r="AG190" s="355"/>
      <c r="AH190" s="355"/>
    </row>
    <row r="191" spans="1:34" x14ac:dyDescent="0.2">
      <c r="A191" s="355"/>
      <c r="B191" s="355"/>
      <c r="C191" s="355"/>
      <c r="D191" s="355"/>
      <c r="E191" s="355"/>
      <c r="F191" s="355"/>
      <c r="G191" s="355"/>
      <c r="H191" s="355"/>
      <c r="I191" s="355"/>
      <c r="J191" s="355"/>
      <c r="K191" s="598"/>
      <c r="L191" s="355"/>
      <c r="M191" s="355"/>
      <c r="N191" s="355"/>
      <c r="O191" s="355"/>
      <c r="R191" s="355"/>
      <c r="S191" s="355"/>
      <c r="T191" s="355"/>
      <c r="U191" s="355"/>
      <c r="V191" s="355"/>
      <c r="W191" s="355"/>
      <c r="X191" s="355"/>
      <c r="Y191" s="355"/>
      <c r="Z191" s="355"/>
      <c r="AA191" s="355"/>
      <c r="AB191" s="355"/>
      <c r="AC191" s="355"/>
      <c r="AD191" s="355"/>
      <c r="AE191" s="355"/>
      <c r="AF191" s="355"/>
      <c r="AG191" s="355"/>
      <c r="AH191" s="355"/>
    </row>
    <row r="192" spans="1:34" x14ac:dyDescent="0.2">
      <c r="A192" s="355"/>
      <c r="B192" s="355"/>
      <c r="C192" s="355"/>
      <c r="D192" s="355"/>
      <c r="E192" s="355"/>
      <c r="F192" s="355"/>
      <c r="G192" s="355"/>
      <c r="H192" s="355"/>
      <c r="I192" s="355"/>
      <c r="J192" s="355"/>
      <c r="K192" s="598"/>
      <c r="L192" s="355"/>
      <c r="M192" s="355"/>
      <c r="N192" s="355"/>
      <c r="O192" s="355"/>
      <c r="R192" s="355"/>
      <c r="S192" s="355"/>
      <c r="T192" s="355"/>
      <c r="U192" s="355"/>
      <c r="V192" s="355"/>
      <c r="W192" s="355"/>
      <c r="X192" s="355"/>
      <c r="Y192" s="355"/>
      <c r="Z192" s="355"/>
      <c r="AA192" s="355"/>
      <c r="AB192" s="355"/>
      <c r="AC192" s="355"/>
      <c r="AD192" s="355"/>
      <c r="AE192" s="355"/>
      <c r="AF192" s="355"/>
      <c r="AG192" s="355"/>
      <c r="AH192" s="355"/>
    </row>
    <row r="193" spans="1:34" x14ac:dyDescent="0.2">
      <c r="A193" s="355"/>
      <c r="B193" s="355"/>
      <c r="C193" s="355"/>
      <c r="D193" s="355"/>
      <c r="E193" s="355"/>
      <c r="F193" s="355"/>
      <c r="G193" s="355"/>
      <c r="H193" s="355"/>
      <c r="I193" s="355"/>
      <c r="J193" s="355"/>
      <c r="K193" s="598"/>
      <c r="L193" s="355"/>
      <c r="M193" s="355"/>
      <c r="N193" s="355"/>
      <c r="O193" s="355"/>
      <c r="R193" s="355"/>
      <c r="S193" s="355"/>
      <c r="T193" s="355"/>
      <c r="U193" s="355"/>
      <c r="V193" s="355"/>
      <c r="W193" s="355"/>
      <c r="X193" s="355"/>
      <c r="Y193" s="355"/>
      <c r="Z193" s="355"/>
      <c r="AA193" s="355"/>
      <c r="AB193" s="355"/>
      <c r="AC193" s="355"/>
      <c r="AD193" s="355"/>
      <c r="AE193" s="355"/>
      <c r="AF193" s="355"/>
      <c r="AG193" s="355"/>
      <c r="AH193" s="355"/>
    </row>
    <row r="194" spans="1:34" x14ac:dyDescent="0.2">
      <c r="A194" s="355"/>
      <c r="B194" s="355"/>
      <c r="C194" s="355"/>
      <c r="D194" s="355"/>
      <c r="E194" s="355"/>
      <c r="F194" s="355"/>
      <c r="G194" s="355"/>
      <c r="H194" s="355"/>
      <c r="I194" s="355"/>
      <c r="J194" s="355"/>
      <c r="K194" s="598"/>
      <c r="L194" s="355"/>
      <c r="M194" s="355"/>
      <c r="N194" s="355"/>
      <c r="O194" s="355"/>
      <c r="R194" s="355"/>
      <c r="S194" s="355"/>
      <c r="T194" s="355"/>
      <c r="U194" s="355"/>
      <c r="V194" s="355"/>
      <c r="W194" s="355"/>
      <c r="X194" s="355"/>
      <c r="Y194" s="355"/>
      <c r="Z194" s="355"/>
      <c r="AA194" s="355"/>
      <c r="AB194" s="355"/>
      <c r="AC194" s="355"/>
      <c r="AD194" s="355"/>
      <c r="AE194" s="355"/>
      <c r="AF194" s="355"/>
      <c r="AG194" s="355"/>
      <c r="AH194" s="355"/>
    </row>
    <row r="195" spans="1:34" x14ac:dyDescent="0.2">
      <c r="A195" s="355"/>
      <c r="B195" s="355"/>
      <c r="C195" s="355"/>
      <c r="D195" s="355"/>
      <c r="E195" s="355"/>
      <c r="F195" s="355"/>
      <c r="G195" s="355"/>
      <c r="H195" s="355"/>
      <c r="I195" s="355"/>
      <c r="J195" s="355"/>
      <c r="K195" s="598"/>
      <c r="L195" s="355"/>
      <c r="M195" s="355"/>
      <c r="N195" s="355"/>
      <c r="O195" s="355"/>
      <c r="R195" s="355"/>
      <c r="S195" s="355"/>
      <c r="T195" s="355"/>
      <c r="U195" s="355"/>
      <c r="V195" s="355"/>
      <c r="W195" s="355"/>
      <c r="X195" s="355"/>
      <c r="Y195" s="355"/>
      <c r="Z195" s="355"/>
      <c r="AA195" s="355"/>
      <c r="AB195" s="355"/>
      <c r="AC195" s="355"/>
      <c r="AD195" s="355"/>
      <c r="AE195" s="355"/>
      <c r="AF195" s="355"/>
      <c r="AG195" s="355"/>
      <c r="AH195" s="355"/>
    </row>
    <row r="196" spans="1:34" x14ac:dyDescent="0.2">
      <c r="A196" s="355"/>
      <c r="B196" s="355"/>
      <c r="C196" s="355"/>
      <c r="D196" s="355"/>
      <c r="E196" s="355"/>
      <c r="F196" s="355"/>
      <c r="G196" s="355"/>
      <c r="H196" s="355"/>
      <c r="I196" s="355"/>
      <c r="J196" s="355"/>
      <c r="K196" s="598"/>
      <c r="L196" s="355"/>
      <c r="M196" s="355"/>
      <c r="N196" s="355"/>
      <c r="O196" s="355"/>
      <c r="R196" s="355"/>
      <c r="S196" s="355"/>
      <c r="T196" s="355"/>
      <c r="U196" s="355"/>
      <c r="V196" s="355"/>
      <c r="W196" s="355"/>
      <c r="X196" s="355"/>
      <c r="Y196" s="355"/>
      <c r="Z196" s="355"/>
      <c r="AA196" s="355"/>
      <c r="AB196" s="355"/>
      <c r="AC196" s="355"/>
      <c r="AD196" s="355"/>
      <c r="AE196" s="355"/>
      <c r="AF196" s="355"/>
      <c r="AG196" s="355"/>
      <c r="AH196" s="355"/>
    </row>
    <row r="197" spans="1:34" x14ac:dyDescent="0.2">
      <c r="A197" s="355"/>
      <c r="B197" s="355"/>
      <c r="C197" s="355"/>
      <c r="D197" s="355"/>
      <c r="E197" s="355"/>
      <c r="F197" s="355"/>
      <c r="G197" s="355"/>
      <c r="H197" s="355"/>
      <c r="I197" s="355"/>
      <c r="J197" s="355"/>
      <c r="K197" s="598"/>
      <c r="L197" s="355"/>
      <c r="M197" s="355"/>
      <c r="N197" s="355"/>
      <c r="O197" s="355"/>
      <c r="R197" s="355"/>
      <c r="S197" s="355"/>
      <c r="T197" s="355"/>
      <c r="U197" s="355"/>
      <c r="V197" s="355"/>
      <c r="W197" s="355"/>
      <c r="X197" s="355"/>
      <c r="Y197" s="355"/>
      <c r="Z197" s="355"/>
      <c r="AA197" s="355"/>
      <c r="AB197" s="355"/>
      <c r="AC197" s="355"/>
      <c r="AD197" s="355"/>
      <c r="AE197" s="355"/>
      <c r="AF197" s="355"/>
      <c r="AG197" s="355"/>
      <c r="AH197" s="355"/>
    </row>
    <row r="198" spans="1:34" x14ac:dyDescent="0.2">
      <c r="A198" s="355"/>
      <c r="B198" s="355"/>
      <c r="C198" s="355"/>
      <c r="D198" s="355"/>
      <c r="E198" s="355"/>
      <c r="F198" s="355"/>
      <c r="G198" s="355"/>
      <c r="H198" s="355"/>
      <c r="I198" s="355"/>
      <c r="J198" s="355"/>
      <c r="K198" s="598"/>
      <c r="L198" s="355"/>
      <c r="M198" s="355"/>
      <c r="N198" s="355"/>
      <c r="O198" s="355"/>
      <c r="R198" s="355"/>
      <c r="S198" s="355"/>
      <c r="T198" s="355"/>
      <c r="U198" s="355"/>
      <c r="V198" s="355"/>
      <c r="W198" s="355"/>
      <c r="X198" s="355"/>
      <c r="Y198" s="355"/>
      <c r="Z198" s="355"/>
      <c r="AA198" s="355"/>
      <c r="AB198" s="355"/>
      <c r="AC198" s="355"/>
      <c r="AD198" s="355"/>
      <c r="AE198" s="355"/>
      <c r="AF198" s="355"/>
      <c r="AG198" s="355"/>
      <c r="AH198" s="355"/>
    </row>
    <row r="199" spans="1:34" x14ac:dyDescent="0.2">
      <c r="A199" s="355"/>
      <c r="B199" s="355"/>
      <c r="C199" s="355"/>
      <c r="D199" s="355"/>
      <c r="E199" s="355"/>
      <c r="F199" s="355"/>
      <c r="G199" s="355"/>
      <c r="H199" s="355"/>
      <c r="I199" s="355"/>
      <c r="J199" s="355"/>
      <c r="K199" s="598"/>
      <c r="L199" s="355"/>
      <c r="M199" s="355"/>
      <c r="N199" s="355"/>
      <c r="O199" s="355"/>
      <c r="R199" s="355"/>
      <c r="S199" s="355"/>
      <c r="T199" s="355"/>
      <c r="U199" s="355"/>
      <c r="V199" s="355"/>
      <c r="W199" s="355"/>
      <c r="X199" s="355"/>
      <c r="Y199" s="355"/>
      <c r="Z199" s="355"/>
      <c r="AA199" s="355"/>
      <c r="AB199" s="355"/>
      <c r="AC199" s="355"/>
      <c r="AD199" s="355"/>
      <c r="AE199" s="355"/>
      <c r="AF199" s="355"/>
      <c r="AG199" s="355"/>
      <c r="AH199" s="355"/>
    </row>
    <row r="200" spans="1:34" x14ac:dyDescent="0.2">
      <c r="A200" s="355"/>
      <c r="B200" s="355"/>
      <c r="C200" s="355"/>
      <c r="D200" s="355"/>
      <c r="E200" s="355"/>
      <c r="F200" s="355"/>
      <c r="G200" s="355"/>
      <c r="H200" s="355"/>
      <c r="I200" s="355"/>
      <c r="J200" s="355"/>
      <c r="K200" s="598"/>
      <c r="L200" s="355"/>
      <c r="M200" s="355"/>
      <c r="N200" s="355"/>
      <c r="O200" s="355"/>
      <c r="R200" s="355"/>
      <c r="S200" s="355"/>
      <c r="T200" s="355"/>
      <c r="U200" s="355"/>
      <c r="V200" s="355"/>
      <c r="W200" s="355"/>
      <c r="X200" s="355"/>
      <c r="Y200" s="355"/>
      <c r="Z200" s="355"/>
      <c r="AA200" s="355"/>
      <c r="AB200" s="355"/>
      <c r="AC200" s="355"/>
      <c r="AD200" s="355"/>
      <c r="AE200" s="355"/>
      <c r="AF200" s="355"/>
      <c r="AG200" s="355"/>
      <c r="AH200" s="355"/>
    </row>
    <row r="201" spans="1:34" x14ac:dyDescent="0.2">
      <c r="A201" s="355"/>
      <c r="B201" s="355"/>
      <c r="C201" s="355"/>
      <c r="D201" s="355"/>
      <c r="E201" s="355"/>
      <c r="F201" s="355"/>
      <c r="G201" s="355"/>
      <c r="H201" s="355"/>
      <c r="I201" s="355"/>
      <c r="J201" s="355"/>
      <c r="K201" s="598"/>
      <c r="L201" s="355"/>
      <c r="M201" s="355"/>
      <c r="N201" s="355"/>
      <c r="O201" s="355"/>
      <c r="R201" s="355"/>
      <c r="S201" s="355"/>
      <c r="T201" s="355"/>
      <c r="U201" s="355"/>
      <c r="V201" s="355"/>
      <c r="W201" s="355"/>
      <c r="X201" s="355"/>
      <c r="Y201" s="355"/>
      <c r="Z201" s="355"/>
      <c r="AA201" s="355"/>
      <c r="AB201" s="355"/>
      <c r="AC201" s="355"/>
      <c r="AD201" s="355"/>
      <c r="AE201" s="355"/>
      <c r="AF201" s="355"/>
      <c r="AG201" s="355"/>
      <c r="AH201" s="355"/>
    </row>
    <row r="202" spans="1:34" x14ac:dyDescent="0.2">
      <c r="A202" s="355"/>
      <c r="B202" s="355"/>
      <c r="C202" s="355"/>
      <c r="D202" s="355"/>
      <c r="E202" s="355"/>
      <c r="F202" s="355"/>
      <c r="G202" s="355"/>
      <c r="H202" s="355"/>
      <c r="I202" s="355"/>
      <c r="J202" s="355"/>
      <c r="K202" s="598"/>
      <c r="L202" s="355"/>
      <c r="M202" s="355"/>
      <c r="N202" s="355"/>
      <c r="O202" s="355"/>
      <c r="R202" s="355"/>
      <c r="S202" s="355"/>
      <c r="T202" s="355"/>
      <c r="U202" s="355"/>
      <c r="V202" s="355"/>
      <c r="W202" s="355"/>
      <c r="X202" s="355"/>
      <c r="Y202" s="355"/>
      <c r="Z202" s="355"/>
      <c r="AA202" s="355"/>
      <c r="AB202" s="355"/>
      <c r="AC202" s="355"/>
      <c r="AD202" s="355"/>
      <c r="AE202" s="355"/>
      <c r="AF202" s="355"/>
      <c r="AG202" s="355"/>
      <c r="AH202" s="355"/>
    </row>
    <row r="203" spans="1:34" x14ac:dyDescent="0.2">
      <c r="A203" s="355"/>
      <c r="B203" s="355"/>
      <c r="C203" s="355"/>
      <c r="D203" s="355"/>
      <c r="E203" s="355"/>
      <c r="F203" s="355"/>
      <c r="G203" s="355"/>
      <c r="H203" s="355"/>
      <c r="I203" s="355"/>
      <c r="J203" s="355"/>
      <c r="K203" s="598"/>
      <c r="L203" s="355"/>
      <c r="M203" s="355"/>
      <c r="N203" s="355"/>
      <c r="O203" s="355"/>
      <c r="R203" s="355"/>
      <c r="S203" s="355"/>
      <c r="T203" s="355"/>
      <c r="U203" s="355"/>
      <c r="V203" s="355"/>
      <c r="W203" s="355"/>
      <c r="X203" s="355"/>
      <c r="Y203" s="355"/>
      <c r="Z203" s="355"/>
      <c r="AA203" s="355"/>
      <c r="AB203" s="355"/>
      <c r="AC203" s="355"/>
      <c r="AD203" s="355"/>
      <c r="AE203" s="355"/>
      <c r="AF203" s="355"/>
      <c r="AG203" s="355"/>
      <c r="AH203" s="355"/>
    </row>
    <row r="204" spans="1:34" x14ac:dyDescent="0.2">
      <c r="A204" s="355"/>
      <c r="B204" s="355"/>
      <c r="C204" s="355"/>
      <c r="D204" s="355"/>
      <c r="E204" s="355"/>
      <c r="F204" s="355"/>
      <c r="G204" s="355"/>
      <c r="H204" s="355"/>
      <c r="I204" s="355"/>
      <c r="J204" s="355"/>
      <c r="K204" s="598"/>
      <c r="L204" s="355"/>
      <c r="M204" s="355"/>
      <c r="N204" s="355"/>
      <c r="O204" s="355"/>
      <c r="R204" s="355"/>
      <c r="S204" s="355"/>
      <c r="T204" s="355"/>
      <c r="U204" s="355"/>
      <c r="V204" s="355"/>
      <c r="W204" s="355"/>
      <c r="X204" s="355"/>
      <c r="Y204" s="355"/>
      <c r="Z204" s="355"/>
      <c r="AA204" s="355"/>
      <c r="AB204" s="355"/>
      <c r="AC204" s="355"/>
      <c r="AD204" s="355"/>
      <c r="AE204" s="355"/>
      <c r="AF204" s="355"/>
      <c r="AG204" s="355"/>
      <c r="AH204" s="355"/>
    </row>
    <row r="205" spans="1:34" x14ac:dyDescent="0.2">
      <c r="A205" s="355"/>
      <c r="B205" s="355"/>
      <c r="C205" s="355"/>
      <c r="D205" s="355"/>
      <c r="E205" s="355"/>
      <c r="F205" s="355"/>
      <c r="G205" s="355"/>
      <c r="H205" s="355"/>
      <c r="I205" s="355"/>
      <c r="J205" s="355"/>
      <c r="K205" s="598"/>
      <c r="L205" s="355"/>
      <c r="M205" s="355"/>
      <c r="N205" s="355"/>
      <c r="O205" s="355"/>
      <c r="R205" s="355"/>
      <c r="S205" s="355"/>
      <c r="T205" s="355"/>
      <c r="U205" s="355"/>
      <c r="V205" s="355"/>
      <c r="W205" s="355"/>
      <c r="X205" s="355"/>
      <c r="Y205" s="355"/>
      <c r="Z205" s="355"/>
      <c r="AA205" s="355"/>
      <c r="AB205" s="355"/>
      <c r="AC205" s="355"/>
      <c r="AD205" s="355"/>
      <c r="AE205" s="355"/>
      <c r="AF205" s="355"/>
      <c r="AG205" s="355"/>
      <c r="AH205" s="355"/>
    </row>
    <row r="206" spans="1:34" x14ac:dyDescent="0.2">
      <c r="A206" s="355"/>
      <c r="B206" s="355"/>
      <c r="C206" s="355"/>
      <c r="D206" s="355"/>
      <c r="E206" s="355"/>
      <c r="F206" s="355"/>
      <c r="G206" s="355"/>
      <c r="H206" s="355"/>
      <c r="I206" s="355"/>
      <c r="J206" s="355"/>
      <c r="K206" s="598"/>
      <c r="L206" s="355"/>
      <c r="M206" s="355"/>
      <c r="N206" s="355"/>
      <c r="O206" s="355"/>
      <c r="R206" s="355"/>
      <c r="S206" s="355"/>
      <c r="T206" s="355"/>
      <c r="U206" s="355"/>
      <c r="V206" s="355"/>
      <c r="W206" s="355"/>
      <c r="X206" s="355"/>
      <c r="Y206" s="355"/>
      <c r="Z206" s="355"/>
      <c r="AA206" s="355"/>
      <c r="AB206" s="355"/>
      <c r="AC206" s="355"/>
      <c r="AD206" s="355"/>
      <c r="AE206" s="355"/>
      <c r="AF206" s="355"/>
      <c r="AG206" s="355"/>
      <c r="AH206" s="355"/>
    </row>
    <row r="207" spans="1:34" x14ac:dyDescent="0.2">
      <c r="A207" s="355"/>
      <c r="B207" s="355"/>
      <c r="C207" s="355"/>
      <c r="D207" s="355"/>
      <c r="E207" s="355"/>
      <c r="F207" s="355"/>
      <c r="G207" s="355"/>
      <c r="H207" s="355"/>
      <c r="I207" s="355"/>
      <c r="J207" s="355"/>
      <c r="K207" s="598"/>
      <c r="L207" s="355"/>
      <c r="M207" s="355"/>
      <c r="N207" s="355"/>
      <c r="O207" s="355"/>
      <c r="R207" s="355"/>
      <c r="S207" s="355"/>
      <c r="T207" s="355"/>
      <c r="U207" s="355"/>
      <c r="V207" s="355"/>
      <c r="W207" s="355"/>
      <c r="X207" s="355"/>
      <c r="Y207" s="355"/>
      <c r="Z207" s="355"/>
      <c r="AA207" s="355"/>
      <c r="AB207" s="355"/>
      <c r="AC207" s="355"/>
      <c r="AD207" s="355"/>
      <c r="AE207" s="355"/>
      <c r="AF207" s="355"/>
      <c r="AG207" s="355"/>
      <c r="AH207" s="355"/>
    </row>
    <row r="208" spans="1:34" x14ac:dyDescent="0.2">
      <c r="A208" s="355"/>
      <c r="B208" s="355"/>
      <c r="C208" s="355"/>
      <c r="D208" s="355"/>
      <c r="E208" s="355"/>
      <c r="F208" s="355"/>
      <c r="G208" s="355"/>
      <c r="H208" s="355"/>
      <c r="I208" s="355"/>
      <c r="J208" s="355"/>
      <c r="K208" s="598"/>
      <c r="L208" s="355"/>
      <c r="M208" s="355"/>
      <c r="N208" s="355"/>
      <c r="O208" s="355"/>
      <c r="R208" s="355"/>
      <c r="S208" s="355"/>
      <c r="T208" s="355"/>
      <c r="U208" s="355"/>
      <c r="V208" s="355"/>
      <c r="W208" s="355"/>
      <c r="X208" s="355"/>
      <c r="Y208" s="355"/>
      <c r="Z208" s="355"/>
      <c r="AA208" s="355"/>
      <c r="AB208" s="355"/>
      <c r="AC208" s="355"/>
      <c r="AD208" s="355"/>
      <c r="AE208" s="355"/>
      <c r="AF208" s="355"/>
      <c r="AG208" s="355"/>
      <c r="AH208" s="355"/>
    </row>
    <row r="209" spans="1:34" x14ac:dyDescent="0.2">
      <c r="A209" s="355"/>
      <c r="B209" s="355"/>
      <c r="C209" s="355"/>
      <c r="D209" s="355"/>
      <c r="E209" s="355"/>
      <c r="F209" s="355"/>
      <c r="G209" s="355"/>
      <c r="H209" s="355"/>
      <c r="I209" s="355"/>
      <c r="J209" s="355"/>
      <c r="K209" s="598"/>
      <c r="L209" s="355"/>
      <c r="M209" s="355"/>
      <c r="N209" s="355"/>
      <c r="O209" s="355"/>
      <c r="R209" s="355"/>
      <c r="S209" s="355"/>
      <c r="T209" s="355"/>
      <c r="U209" s="355"/>
      <c r="V209" s="355"/>
      <c r="W209" s="355"/>
      <c r="X209" s="355"/>
      <c r="Y209" s="355"/>
      <c r="Z209" s="355"/>
      <c r="AA209" s="355"/>
      <c r="AB209" s="355"/>
      <c r="AC209" s="355"/>
      <c r="AD209" s="355"/>
      <c r="AE209" s="355"/>
      <c r="AF209" s="355"/>
      <c r="AG209" s="355"/>
      <c r="AH209" s="355"/>
    </row>
    <row r="210" spans="1:34" x14ac:dyDescent="0.2">
      <c r="A210" s="355"/>
      <c r="B210" s="355"/>
      <c r="C210" s="355"/>
      <c r="D210" s="355"/>
      <c r="E210" s="355"/>
      <c r="F210" s="355"/>
      <c r="G210" s="355"/>
      <c r="H210" s="355"/>
      <c r="I210" s="355"/>
      <c r="J210" s="355"/>
      <c r="K210" s="598"/>
      <c r="L210" s="355"/>
      <c r="M210" s="355"/>
      <c r="N210" s="355"/>
      <c r="O210" s="355"/>
      <c r="R210" s="355"/>
      <c r="S210" s="355"/>
      <c r="T210" s="355"/>
      <c r="U210" s="355"/>
      <c r="V210" s="355"/>
      <c r="W210" s="355"/>
      <c r="X210" s="355"/>
      <c r="Y210" s="355"/>
      <c r="Z210" s="355"/>
      <c r="AA210" s="355"/>
      <c r="AB210" s="355"/>
      <c r="AC210" s="355"/>
      <c r="AD210" s="355"/>
      <c r="AE210" s="355"/>
      <c r="AF210" s="355"/>
      <c r="AG210" s="355"/>
      <c r="AH210" s="355"/>
    </row>
    <row r="211" spans="1:34" x14ac:dyDescent="0.2">
      <c r="A211" s="355"/>
      <c r="B211" s="355"/>
      <c r="C211" s="355"/>
      <c r="D211" s="355"/>
      <c r="E211" s="355"/>
      <c r="F211" s="355"/>
      <c r="G211" s="355"/>
      <c r="H211" s="355"/>
      <c r="I211" s="355"/>
      <c r="J211" s="355"/>
      <c r="K211" s="598"/>
      <c r="L211" s="355"/>
      <c r="M211" s="355"/>
      <c r="N211" s="355"/>
      <c r="O211" s="355"/>
      <c r="R211" s="355"/>
      <c r="S211" s="355"/>
      <c r="T211" s="355"/>
      <c r="U211" s="355"/>
      <c r="V211" s="355"/>
      <c r="W211" s="355"/>
      <c r="X211" s="355"/>
      <c r="Y211" s="355"/>
      <c r="Z211" s="355"/>
      <c r="AA211" s="355"/>
      <c r="AB211" s="355"/>
      <c r="AC211" s="355"/>
      <c r="AD211" s="355"/>
      <c r="AE211" s="355"/>
      <c r="AF211" s="355"/>
      <c r="AG211" s="355"/>
      <c r="AH211" s="355"/>
    </row>
    <row r="212" spans="1:34" x14ac:dyDescent="0.2">
      <c r="A212" s="355"/>
      <c r="B212" s="355"/>
      <c r="C212" s="355"/>
      <c r="D212" s="355"/>
      <c r="E212" s="355"/>
      <c r="F212" s="355"/>
      <c r="G212" s="355"/>
      <c r="H212" s="355"/>
      <c r="I212" s="355"/>
      <c r="J212" s="355"/>
      <c r="K212" s="598"/>
      <c r="L212" s="355"/>
      <c r="M212" s="355"/>
      <c r="N212" s="355"/>
      <c r="O212" s="355"/>
      <c r="R212" s="355"/>
      <c r="S212" s="355"/>
      <c r="T212" s="355"/>
      <c r="U212" s="355"/>
      <c r="V212" s="355"/>
      <c r="W212" s="355"/>
      <c r="X212" s="355"/>
      <c r="Y212" s="355"/>
      <c r="Z212" s="355"/>
      <c r="AA212" s="355"/>
      <c r="AB212" s="355"/>
      <c r="AC212" s="355"/>
      <c r="AD212" s="355"/>
      <c r="AE212" s="355"/>
      <c r="AF212" s="355"/>
      <c r="AG212" s="355"/>
      <c r="AH212" s="355"/>
    </row>
    <row r="213" spans="1:34" x14ac:dyDescent="0.2">
      <c r="A213" s="355"/>
      <c r="B213" s="355"/>
      <c r="C213" s="355"/>
      <c r="D213" s="355"/>
      <c r="E213" s="355"/>
      <c r="F213" s="355"/>
      <c r="G213" s="355"/>
      <c r="H213" s="355"/>
      <c r="I213" s="355"/>
      <c r="J213" s="355"/>
      <c r="K213" s="598"/>
      <c r="L213" s="355"/>
      <c r="M213" s="355"/>
      <c r="N213" s="355"/>
      <c r="O213" s="355"/>
      <c r="R213" s="355"/>
      <c r="S213" s="355"/>
      <c r="T213" s="355"/>
      <c r="U213" s="355"/>
      <c r="V213" s="355"/>
      <c r="W213" s="355"/>
      <c r="X213" s="355"/>
      <c r="Y213" s="355"/>
      <c r="Z213" s="355"/>
      <c r="AA213" s="355"/>
      <c r="AB213" s="355"/>
      <c r="AC213" s="355"/>
      <c r="AD213" s="355"/>
      <c r="AE213" s="355"/>
      <c r="AF213" s="355"/>
      <c r="AG213" s="355"/>
      <c r="AH213" s="355"/>
    </row>
    <row r="214" spans="1:34" x14ac:dyDescent="0.2">
      <c r="A214" s="355"/>
      <c r="B214" s="355"/>
      <c r="C214" s="355"/>
      <c r="D214" s="355"/>
      <c r="E214" s="355"/>
      <c r="F214" s="355"/>
      <c r="G214" s="355"/>
      <c r="H214" s="355"/>
      <c r="I214" s="355"/>
      <c r="J214" s="355"/>
      <c r="K214" s="598"/>
      <c r="L214" s="355"/>
      <c r="M214" s="355"/>
      <c r="N214" s="355"/>
      <c r="O214" s="355"/>
      <c r="R214" s="355"/>
      <c r="S214" s="355"/>
      <c r="T214" s="355"/>
      <c r="U214" s="355"/>
      <c r="V214" s="355"/>
      <c r="W214" s="355"/>
      <c r="X214" s="355"/>
      <c r="Y214" s="355"/>
      <c r="Z214" s="355"/>
      <c r="AA214" s="355"/>
      <c r="AB214" s="355"/>
      <c r="AC214" s="355"/>
      <c r="AD214" s="355"/>
      <c r="AE214" s="355"/>
      <c r="AF214" s="355"/>
      <c r="AG214" s="355"/>
      <c r="AH214" s="355"/>
    </row>
    <row r="215" spans="1:34" x14ac:dyDescent="0.2">
      <c r="A215" s="355"/>
      <c r="B215" s="355"/>
      <c r="C215" s="355"/>
      <c r="D215" s="355"/>
      <c r="E215" s="355"/>
      <c r="F215" s="355"/>
      <c r="G215" s="355"/>
      <c r="H215" s="355"/>
      <c r="I215" s="355"/>
      <c r="J215" s="355"/>
      <c r="K215" s="598"/>
      <c r="L215" s="355"/>
      <c r="M215" s="355"/>
      <c r="N215" s="355"/>
      <c r="O215" s="355"/>
      <c r="R215" s="355"/>
      <c r="S215" s="355"/>
      <c r="T215" s="355"/>
      <c r="U215" s="355"/>
      <c r="V215" s="355"/>
      <c r="W215" s="355"/>
      <c r="X215" s="355"/>
      <c r="Y215" s="355"/>
      <c r="Z215" s="355"/>
      <c r="AA215" s="355"/>
      <c r="AB215" s="355"/>
      <c r="AC215" s="355"/>
      <c r="AD215" s="355"/>
      <c r="AE215" s="355"/>
      <c r="AF215" s="355"/>
      <c r="AG215" s="355"/>
      <c r="AH215" s="355"/>
    </row>
    <row r="216" spans="1:34" x14ac:dyDescent="0.2">
      <c r="A216" s="355"/>
      <c r="B216" s="355"/>
      <c r="C216" s="355"/>
      <c r="D216" s="355"/>
      <c r="E216" s="355"/>
      <c r="F216" s="355"/>
      <c r="G216" s="355"/>
      <c r="H216" s="355"/>
      <c r="I216" s="355"/>
      <c r="J216" s="355"/>
      <c r="K216" s="598"/>
      <c r="L216" s="355"/>
      <c r="M216" s="355"/>
      <c r="N216" s="355"/>
      <c r="O216" s="355"/>
      <c r="R216" s="355"/>
      <c r="S216" s="355"/>
      <c r="T216" s="355"/>
      <c r="U216" s="355"/>
      <c r="V216" s="355"/>
      <c r="W216" s="355"/>
      <c r="X216" s="355"/>
      <c r="Y216" s="355"/>
      <c r="Z216" s="355"/>
      <c r="AA216" s="355"/>
      <c r="AB216" s="355"/>
      <c r="AC216" s="355"/>
      <c r="AD216" s="355"/>
      <c r="AE216" s="355"/>
      <c r="AF216" s="355"/>
      <c r="AG216" s="355"/>
      <c r="AH216" s="355"/>
    </row>
    <row r="217" spans="1:34" x14ac:dyDescent="0.2">
      <c r="A217" s="355"/>
      <c r="B217" s="355"/>
      <c r="C217" s="355"/>
      <c r="D217" s="355"/>
      <c r="E217" s="355"/>
      <c r="F217" s="355"/>
      <c r="G217" s="355"/>
      <c r="H217" s="355"/>
      <c r="I217" s="355"/>
      <c r="J217" s="355"/>
      <c r="K217" s="598"/>
      <c r="L217" s="355"/>
      <c r="M217" s="355"/>
      <c r="N217" s="355"/>
      <c r="O217" s="355"/>
      <c r="R217" s="355"/>
      <c r="S217" s="355"/>
      <c r="T217" s="355"/>
      <c r="U217" s="355"/>
      <c r="V217" s="355"/>
      <c r="W217" s="355"/>
      <c r="X217" s="355"/>
      <c r="Y217" s="355"/>
      <c r="Z217" s="355"/>
      <c r="AA217" s="355"/>
      <c r="AB217" s="355"/>
      <c r="AC217" s="355"/>
      <c r="AD217" s="355"/>
      <c r="AE217" s="355"/>
      <c r="AF217" s="355"/>
      <c r="AG217" s="355"/>
      <c r="AH217" s="355"/>
    </row>
    <row r="218" spans="1:34" x14ac:dyDescent="0.2">
      <c r="A218" s="355"/>
      <c r="B218" s="355"/>
      <c r="C218" s="355"/>
      <c r="D218" s="355"/>
      <c r="E218" s="355"/>
      <c r="F218" s="355"/>
      <c r="G218" s="355"/>
      <c r="H218" s="355"/>
      <c r="I218" s="355"/>
      <c r="J218" s="355"/>
      <c r="K218" s="598"/>
      <c r="L218" s="355"/>
      <c r="M218" s="355"/>
      <c r="N218" s="355"/>
      <c r="O218" s="355"/>
      <c r="R218" s="355"/>
      <c r="S218" s="355"/>
      <c r="T218" s="355"/>
      <c r="U218" s="355"/>
      <c r="V218" s="355"/>
      <c r="W218" s="355"/>
      <c r="X218" s="355"/>
      <c r="Y218" s="355"/>
      <c r="Z218" s="355"/>
      <c r="AA218" s="355"/>
      <c r="AB218" s="355"/>
      <c r="AC218" s="355"/>
      <c r="AD218" s="355"/>
      <c r="AE218" s="355"/>
      <c r="AF218" s="355"/>
      <c r="AG218" s="355"/>
      <c r="AH218" s="355"/>
    </row>
    <row r="219" spans="1:34" x14ac:dyDescent="0.2">
      <c r="A219" s="355"/>
      <c r="B219" s="355"/>
      <c r="C219" s="355"/>
      <c r="D219" s="355"/>
      <c r="E219" s="355"/>
      <c r="F219" s="355"/>
      <c r="G219" s="355"/>
      <c r="H219" s="355"/>
      <c r="I219" s="355"/>
      <c r="J219" s="355"/>
      <c r="K219" s="598"/>
      <c r="L219" s="355"/>
      <c r="M219" s="355"/>
      <c r="N219" s="355"/>
      <c r="O219" s="355"/>
      <c r="R219" s="355"/>
      <c r="S219" s="355"/>
      <c r="T219" s="355"/>
      <c r="U219" s="355"/>
      <c r="V219" s="355"/>
      <c r="W219" s="355"/>
      <c r="X219" s="355"/>
      <c r="Y219" s="355"/>
      <c r="Z219" s="355"/>
      <c r="AA219" s="355"/>
      <c r="AB219" s="355"/>
      <c r="AC219" s="355"/>
      <c r="AD219" s="355"/>
      <c r="AE219" s="355"/>
      <c r="AF219" s="355"/>
      <c r="AG219" s="355"/>
      <c r="AH219" s="355"/>
    </row>
    <row r="220" spans="1:34" x14ac:dyDescent="0.2">
      <c r="A220" s="355"/>
      <c r="B220" s="355"/>
      <c r="C220" s="355"/>
      <c r="D220" s="355"/>
      <c r="E220" s="355"/>
      <c r="F220" s="355"/>
      <c r="G220" s="355"/>
      <c r="H220" s="355"/>
      <c r="I220" s="355"/>
      <c r="J220" s="355"/>
      <c r="K220" s="598"/>
      <c r="L220" s="355"/>
      <c r="M220" s="355"/>
      <c r="N220" s="355"/>
      <c r="O220" s="355"/>
      <c r="R220" s="355"/>
      <c r="S220" s="355"/>
      <c r="T220" s="355"/>
      <c r="U220" s="355"/>
      <c r="V220" s="355"/>
      <c r="W220" s="355"/>
      <c r="X220" s="355"/>
      <c r="Y220" s="355"/>
      <c r="Z220" s="355"/>
      <c r="AA220" s="355"/>
      <c r="AB220" s="355"/>
      <c r="AC220" s="355"/>
      <c r="AD220" s="355"/>
      <c r="AE220" s="355"/>
      <c r="AF220" s="355"/>
      <c r="AG220" s="355"/>
      <c r="AH220" s="355"/>
    </row>
    <row r="221" spans="1:34" x14ac:dyDescent="0.2">
      <c r="A221" s="355"/>
      <c r="B221" s="355"/>
      <c r="C221" s="355"/>
      <c r="D221" s="355"/>
      <c r="E221" s="355"/>
      <c r="F221" s="355"/>
      <c r="G221" s="355"/>
      <c r="H221" s="355"/>
      <c r="I221" s="355"/>
      <c r="J221" s="355"/>
      <c r="K221" s="598"/>
      <c r="L221" s="355"/>
      <c r="M221" s="355"/>
      <c r="N221" s="355"/>
      <c r="O221" s="355"/>
      <c r="R221" s="355"/>
      <c r="S221" s="355"/>
      <c r="T221" s="355"/>
      <c r="U221" s="355"/>
      <c r="V221" s="355"/>
      <c r="W221" s="355"/>
      <c r="X221" s="355"/>
      <c r="Y221" s="355"/>
      <c r="Z221" s="355"/>
      <c r="AA221" s="355"/>
      <c r="AB221" s="355"/>
      <c r="AC221" s="355"/>
      <c r="AD221" s="355"/>
      <c r="AE221" s="355"/>
      <c r="AF221" s="355"/>
      <c r="AG221" s="355"/>
      <c r="AH221" s="355"/>
    </row>
    <row r="222" spans="1:34" x14ac:dyDescent="0.2">
      <c r="A222" s="355"/>
      <c r="B222" s="355"/>
      <c r="C222" s="355"/>
      <c r="D222" s="355"/>
      <c r="E222" s="355"/>
      <c r="F222" s="355"/>
      <c r="G222" s="355"/>
      <c r="H222" s="355"/>
      <c r="I222" s="355"/>
      <c r="J222" s="355"/>
      <c r="K222" s="598"/>
      <c r="L222" s="355"/>
      <c r="M222" s="355"/>
      <c r="N222" s="355"/>
      <c r="O222" s="355"/>
      <c r="R222" s="355"/>
      <c r="S222" s="355"/>
      <c r="T222" s="355"/>
      <c r="U222" s="355"/>
      <c r="V222" s="355"/>
      <c r="W222" s="355"/>
      <c r="X222" s="355"/>
      <c r="Y222" s="355"/>
      <c r="Z222" s="355"/>
      <c r="AA222" s="355"/>
      <c r="AB222" s="355"/>
      <c r="AC222" s="355"/>
      <c r="AD222" s="355"/>
      <c r="AE222" s="355"/>
      <c r="AF222" s="355"/>
      <c r="AG222" s="355"/>
      <c r="AH222" s="355"/>
    </row>
    <row r="223" spans="1:34" x14ac:dyDescent="0.2">
      <c r="A223" s="355"/>
      <c r="B223" s="355"/>
      <c r="C223" s="355"/>
      <c r="D223" s="355"/>
      <c r="E223" s="355"/>
      <c r="F223" s="355"/>
      <c r="G223" s="355"/>
      <c r="H223" s="355"/>
      <c r="I223" s="355"/>
      <c r="J223" s="355"/>
      <c r="K223" s="598"/>
      <c r="L223" s="355"/>
      <c r="M223" s="355"/>
      <c r="N223" s="355"/>
      <c r="O223" s="355"/>
      <c r="R223" s="355"/>
      <c r="S223" s="355"/>
      <c r="T223" s="355"/>
      <c r="U223" s="355"/>
      <c r="V223" s="355"/>
      <c r="W223" s="355"/>
      <c r="X223" s="355"/>
      <c r="Y223" s="355"/>
      <c r="Z223" s="355"/>
      <c r="AA223" s="355"/>
      <c r="AB223" s="355"/>
      <c r="AC223" s="355"/>
      <c r="AD223" s="355"/>
      <c r="AE223" s="355"/>
      <c r="AF223" s="355"/>
      <c r="AG223" s="355"/>
      <c r="AH223" s="355"/>
    </row>
    <row r="224" spans="1:34" x14ac:dyDescent="0.2">
      <c r="A224" s="355"/>
      <c r="B224" s="355"/>
      <c r="C224" s="355"/>
      <c r="D224" s="355"/>
      <c r="E224" s="355"/>
      <c r="F224" s="355"/>
      <c r="G224" s="355"/>
      <c r="H224" s="355"/>
      <c r="I224" s="355"/>
      <c r="J224" s="355"/>
      <c r="K224" s="598"/>
      <c r="L224" s="355"/>
      <c r="M224" s="355"/>
      <c r="N224" s="355"/>
      <c r="O224" s="355"/>
      <c r="R224" s="355"/>
      <c r="S224" s="355"/>
      <c r="T224" s="355"/>
      <c r="U224" s="355"/>
      <c r="V224" s="355"/>
      <c r="W224" s="355"/>
      <c r="X224" s="355"/>
      <c r="Y224" s="355"/>
      <c r="Z224" s="355"/>
      <c r="AA224" s="355"/>
      <c r="AB224" s="355"/>
      <c r="AC224" s="355"/>
      <c r="AD224" s="355"/>
      <c r="AE224" s="355"/>
      <c r="AF224" s="355"/>
      <c r="AG224" s="355"/>
      <c r="AH224" s="355"/>
    </row>
    <row r="225" spans="1:34" x14ac:dyDescent="0.2">
      <c r="A225" s="355"/>
      <c r="B225" s="355"/>
      <c r="C225" s="355"/>
      <c r="D225" s="355"/>
      <c r="E225" s="355"/>
      <c r="F225" s="355"/>
      <c r="G225" s="355"/>
      <c r="H225" s="355"/>
      <c r="I225" s="355"/>
      <c r="J225" s="355"/>
      <c r="K225" s="598"/>
      <c r="L225" s="355"/>
      <c r="M225" s="355"/>
      <c r="N225" s="355"/>
      <c r="O225" s="355"/>
      <c r="R225" s="355"/>
      <c r="S225" s="355"/>
      <c r="T225" s="355"/>
      <c r="U225" s="355"/>
      <c r="V225" s="355"/>
      <c r="W225" s="355"/>
      <c r="X225" s="355"/>
      <c r="Y225" s="355"/>
      <c r="Z225" s="355"/>
      <c r="AA225" s="355"/>
      <c r="AB225" s="355"/>
      <c r="AC225" s="355"/>
      <c r="AD225" s="355"/>
      <c r="AE225" s="355"/>
      <c r="AF225" s="355"/>
      <c r="AG225" s="355"/>
      <c r="AH225" s="355"/>
    </row>
    <row r="226" spans="1:34" x14ac:dyDescent="0.2">
      <c r="A226" s="355"/>
      <c r="B226" s="355"/>
      <c r="C226" s="355"/>
      <c r="D226" s="355"/>
      <c r="E226" s="355"/>
      <c r="F226" s="355"/>
      <c r="G226" s="355"/>
      <c r="H226" s="355"/>
      <c r="I226" s="355"/>
      <c r="J226" s="355"/>
      <c r="K226" s="598"/>
      <c r="L226" s="355"/>
      <c r="M226" s="355"/>
      <c r="N226" s="355"/>
      <c r="O226" s="355"/>
      <c r="R226" s="355"/>
      <c r="S226" s="355"/>
      <c r="T226" s="355"/>
      <c r="U226" s="355"/>
      <c r="V226" s="355"/>
      <c r="W226" s="355"/>
      <c r="X226" s="355"/>
      <c r="Y226" s="355"/>
      <c r="Z226" s="355"/>
      <c r="AA226" s="355"/>
      <c r="AB226" s="355"/>
      <c r="AC226" s="355"/>
      <c r="AD226" s="355"/>
      <c r="AE226" s="355"/>
      <c r="AF226" s="355"/>
      <c r="AG226" s="355"/>
      <c r="AH226" s="355"/>
    </row>
    <row r="227" spans="1:34" x14ac:dyDescent="0.2">
      <c r="A227" s="355"/>
      <c r="B227" s="355"/>
      <c r="C227" s="355"/>
      <c r="D227" s="355"/>
      <c r="E227" s="355"/>
      <c r="F227" s="355"/>
      <c r="G227" s="355"/>
      <c r="H227" s="355"/>
      <c r="I227" s="355"/>
      <c r="J227" s="355"/>
      <c r="K227" s="598"/>
      <c r="L227" s="355"/>
      <c r="M227" s="355"/>
      <c r="N227" s="355"/>
      <c r="O227" s="355"/>
      <c r="R227" s="355"/>
      <c r="S227" s="355"/>
      <c r="T227" s="355"/>
      <c r="U227" s="355"/>
      <c r="V227" s="355"/>
      <c r="W227" s="355"/>
      <c r="X227" s="355"/>
      <c r="Y227" s="355"/>
      <c r="Z227" s="355"/>
      <c r="AA227" s="355"/>
      <c r="AB227" s="355"/>
      <c r="AC227" s="355"/>
      <c r="AD227" s="355"/>
      <c r="AE227" s="355"/>
      <c r="AF227" s="355"/>
      <c r="AG227" s="355"/>
      <c r="AH227" s="355"/>
    </row>
    <row r="228" spans="1:34" x14ac:dyDescent="0.2">
      <c r="A228" s="355"/>
      <c r="B228" s="355"/>
      <c r="C228" s="355"/>
      <c r="D228" s="355"/>
      <c r="E228" s="355"/>
      <c r="F228" s="355"/>
      <c r="G228" s="355"/>
      <c r="H228" s="355"/>
      <c r="I228" s="355"/>
      <c r="J228" s="355"/>
      <c r="K228" s="598"/>
      <c r="L228" s="355"/>
      <c r="M228" s="355"/>
      <c r="N228" s="355"/>
      <c r="O228" s="355"/>
      <c r="R228" s="355"/>
      <c r="S228" s="355"/>
      <c r="T228" s="355"/>
      <c r="U228" s="355"/>
      <c r="V228" s="355"/>
      <c r="W228" s="355"/>
      <c r="X228" s="355"/>
      <c r="Y228" s="355"/>
      <c r="Z228" s="355"/>
      <c r="AA228" s="355"/>
      <c r="AB228" s="355"/>
      <c r="AC228" s="355"/>
      <c r="AD228" s="355"/>
      <c r="AE228" s="355"/>
      <c r="AF228" s="355"/>
      <c r="AG228" s="355"/>
      <c r="AH228" s="355"/>
    </row>
    <row r="229" spans="1:34" x14ac:dyDescent="0.2">
      <c r="A229" s="355"/>
      <c r="B229" s="355"/>
      <c r="C229" s="355"/>
      <c r="D229" s="355"/>
      <c r="E229" s="355"/>
      <c r="F229" s="355"/>
      <c r="G229" s="355"/>
      <c r="H229" s="355"/>
      <c r="I229" s="355"/>
      <c r="J229" s="355"/>
      <c r="K229" s="598"/>
      <c r="L229" s="355"/>
      <c r="M229" s="355"/>
      <c r="N229" s="355"/>
      <c r="O229" s="355"/>
      <c r="R229" s="355"/>
      <c r="S229" s="355"/>
      <c r="T229" s="355"/>
      <c r="U229" s="355"/>
      <c r="V229" s="355"/>
      <c r="W229" s="355"/>
      <c r="X229" s="355"/>
      <c r="Y229" s="355"/>
      <c r="Z229" s="355"/>
      <c r="AA229" s="355"/>
      <c r="AB229" s="355"/>
      <c r="AC229" s="355"/>
      <c r="AD229" s="355"/>
      <c r="AE229" s="355"/>
      <c r="AF229" s="355"/>
      <c r="AG229" s="355"/>
      <c r="AH229" s="355"/>
    </row>
    <row r="230" spans="1:34" x14ac:dyDescent="0.2">
      <c r="A230" s="355"/>
      <c r="B230" s="355"/>
      <c r="C230" s="355"/>
      <c r="D230" s="355"/>
      <c r="E230" s="355"/>
      <c r="F230" s="355"/>
      <c r="G230" s="355"/>
      <c r="H230" s="355"/>
      <c r="I230" s="355"/>
      <c r="J230" s="355"/>
      <c r="K230" s="598"/>
      <c r="L230" s="355"/>
      <c r="M230" s="355"/>
      <c r="N230" s="355"/>
      <c r="O230" s="355"/>
      <c r="R230" s="355"/>
      <c r="S230" s="355"/>
      <c r="T230" s="355"/>
      <c r="U230" s="355"/>
      <c r="V230" s="355"/>
      <c r="W230" s="355"/>
      <c r="X230" s="355"/>
      <c r="Y230" s="355"/>
      <c r="Z230" s="355"/>
      <c r="AA230" s="355"/>
      <c r="AB230" s="355"/>
      <c r="AC230" s="355"/>
      <c r="AD230" s="355"/>
      <c r="AE230" s="355"/>
      <c r="AF230" s="355"/>
      <c r="AG230" s="355"/>
      <c r="AH230" s="355"/>
    </row>
    <row r="231" spans="1:34" x14ac:dyDescent="0.2">
      <c r="A231" s="355"/>
      <c r="B231" s="355"/>
      <c r="C231" s="355"/>
      <c r="D231" s="355"/>
      <c r="E231" s="355"/>
      <c r="F231" s="355"/>
      <c r="G231" s="355"/>
      <c r="H231" s="355"/>
      <c r="I231" s="355"/>
      <c r="J231" s="355"/>
      <c r="K231" s="598"/>
      <c r="L231" s="355"/>
      <c r="M231" s="355"/>
      <c r="N231" s="355"/>
      <c r="O231" s="355"/>
      <c r="R231" s="355"/>
      <c r="S231" s="355"/>
      <c r="T231" s="355"/>
      <c r="U231" s="355"/>
      <c r="V231" s="355"/>
      <c r="W231" s="355"/>
      <c r="X231" s="355"/>
      <c r="Y231" s="355"/>
      <c r="Z231" s="355"/>
      <c r="AA231" s="355"/>
      <c r="AB231" s="355"/>
      <c r="AC231" s="355"/>
      <c r="AD231" s="355"/>
      <c r="AE231" s="355"/>
      <c r="AF231" s="355"/>
      <c r="AG231" s="355"/>
      <c r="AH231" s="355"/>
    </row>
    <row r="232" spans="1:34" x14ac:dyDescent="0.2">
      <c r="A232" s="355"/>
      <c r="B232" s="355"/>
      <c r="C232" s="355"/>
      <c r="D232" s="355"/>
      <c r="E232" s="355"/>
      <c r="F232" s="355"/>
      <c r="G232" s="355"/>
      <c r="H232" s="355"/>
      <c r="I232" s="355"/>
      <c r="J232" s="355"/>
      <c r="K232" s="598"/>
      <c r="L232" s="355"/>
      <c r="M232" s="355"/>
      <c r="N232" s="355"/>
      <c r="O232" s="355"/>
      <c r="R232" s="355"/>
      <c r="S232" s="355"/>
      <c r="T232" s="355"/>
      <c r="U232" s="355"/>
      <c r="V232" s="355"/>
      <c r="W232" s="355"/>
      <c r="X232" s="355"/>
      <c r="Y232" s="355"/>
      <c r="Z232" s="355"/>
      <c r="AA232" s="355"/>
      <c r="AB232" s="355"/>
      <c r="AC232" s="355"/>
      <c r="AD232" s="355"/>
      <c r="AE232" s="355"/>
      <c r="AF232" s="355"/>
      <c r="AG232" s="355"/>
      <c r="AH232" s="355"/>
    </row>
    <row r="233" spans="1:34" x14ac:dyDescent="0.2">
      <c r="A233" s="355"/>
      <c r="B233" s="355"/>
      <c r="C233" s="355"/>
      <c r="D233" s="355"/>
      <c r="E233" s="355"/>
      <c r="F233" s="355"/>
      <c r="G233" s="355"/>
      <c r="H233" s="355"/>
      <c r="I233" s="355"/>
      <c r="J233" s="355"/>
      <c r="K233" s="598"/>
      <c r="L233" s="355"/>
      <c r="M233" s="355"/>
      <c r="N233" s="355"/>
      <c r="O233" s="355"/>
      <c r="R233" s="355"/>
      <c r="S233" s="355"/>
      <c r="T233" s="355"/>
      <c r="U233" s="355"/>
      <c r="V233" s="355"/>
      <c r="W233" s="355"/>
      <c r="X233" s="355"/>
      <c r="Y233" s="355"/>
      <c r="Z233" s="355"/>
      <c r="AA233" s="355"/>
      <c r="AB233" s="355"/>
      <c r="AC233" s="355"/>
      <c r="AD233" s="355"/>
      <c r="AE233" s="355"/>
      <c r="AF233" s="355"/>
      <c r="AG233" s="355"/>
      <c r="AH233" s="355"/>
    </row>
    <row r="234" spans="1:34" x14ac:dyDescent="0.2">
      <c r="A234" s="355"/>
      <c r="B234" s="355"/>
      <c r="C234" s="355"/>
      <c r="D234" s="355"/>
      <c r="E234" s="355"/>
      <c r="F234" s="355"/>
      <c r="G234" s="355"/>
      <c r="H234" s="355"/>
      <c r="I234" s="355"/>
      <c r="J234" s="355"/>
      <c r="K234" s="598"/>
      <c r="L234" s="355"/>
      <c r="M234" s="355"/>
      <c r="N234" s="355"/>
      <c r="O234" s="355"/>
      <c r="R234" s="355"/>
      <c r="S234" s="355"/>
      <c r="T234" s="355"/>
      <c r="U234" s="355"/>
      <c r="V234" s="355"/>
      <c r="W234" s="355"/>
      <c r="X234" s="355"/>
      <c r="Y234" s="355"/>
      <c r="Z234" s="355"/>
      <c r="AA234" s="355"/>
      <c r="AB234" s="355"/>
      <c r="AC234" s="355"/>
      <c r="AD234" s="355"/>
      <c r="AE234" s="355"/>
      <c r="AF234" s="355"/>
      <c r="AG234" s="355"/>
      <c r="AH234" s="355"/>
    </row>
    <row r="235" spans="1:34" x14ac:dyDescent="0.2">
      <c r="A235" s="355"/>
      <c r="B235" s="355"/>
      <c r="C235" s="355"/>
      <c r="D235" s="355"/>
      <c r="E235" s="355"/>
      <c r="F235" s="355"/>
      <c r="G235" s="355"/>
      <c r="H235" s="355"/>
      <c r="I235" s="355"/>
      <c r="J235" s="355"/>
      <c r="K235" s="598"/>
      <c r="L235" s="355"/>
      <c r="M235" s="355"/>
      <c r="N235" s="355"/>
      <c r="O235" s="355"/>
      <c r="R235" s="355"/>
      <c r="S235" s="355"/>
      <c r="T235" s="355"/>
      <c r="U235" s="355"/>
      <c r="V235" s="355"/>
      <c r="W235" s="355"/>
      <c r="X235" s="355"/>
      <c r="Y235" s="355"/>
      <c r="Z235" s="355"/>
      <c r="AA235" s="355"/>
      <c r="AB235" s="355"/>
      <c r="AC235" s="355"/>
      <c r="AD235" s="355"/>
      <c r="AE235" s="355"/>
      <c r="AF235" s="355"/>
      <c r="AG235" s="355"/>
      <c r="AH235" s="355"/>
    </row>
    <row r="236" spans="1:34" x14ac:dyDescent="0.2">
      <c r="A236" s="355"/>
      <c r="B236" s="355"/>
      <c r="C236" s="355"/>
      <c r="D236" s="355"/>
      <c r="E236" s="355"/>
      <c r="F236" s="355"/>
      <c r="G236" s="355"/>
      <c r="H236" s="355"/>
      <c r="I236" s="355"/>
      <c r="J236" s="355"/>
      <c r="K236" s="598"/>
      <c r="L236" s="355"/>
      <c r="M236" s="355"/>
      <c r="N236" s="355"/>
      <c r="O236" s="355"/>
      <c r="R236" s="355"/>
      <c r="S236" s="355"/>
      <c r="T236" s="355"/>
      <c r="U236" s="355"/>
      <c r="V236" s="355"/>
      <c r="W236" s="355"/>
      <c r="X236" s="355"/>
      <c r="Y236" s="355"/>
      <c r="Z236" s="355"/>
      <c r="AA236" s="355"/>
      <c r="AB236" s="355"/>
      <c r="AC236" s="355"/>
      <c r="AD236" s="355"/>
      <c r="AE236" s="355"/>
      <c r="AF236" s="355"/>
      <c r="AG236" s="355"/>
      <c r="AH236" s="355"/>
    </row>
    <row r="237" spans="1:34" x14ac:dyDescent="0.2">
      <c r="A237" s="355"/>
      <c r="B237" s="355"/>
      <c r="C237" s="355"/>
      <c r="D237" s="355"/>
      <c r="E237" s="355"/>
      <c r="F237" s="355"/>
      <c r="G237" s="355"/>
      <c r="H237" s="355"/>
      <c r="I237" s="355"/>
      <c r="J237" s="355"/>
      <c r="K237" s="598"/>
      <c r="L237" s="355"/>
      <c r="M237" s="355"/>
      <c r="N237" s="355"/>
      <c r="O237" s="355"/>
      <c r="R237" s="355"/>
      <c r="S237" s="355"/>
      <c r="T237" s="355"/>
      <c r="U237" s="355"/>
      <c r="V237" s="355"/>
      <c r="W237" s="355"/>
      <c r="X237" s="355"/>
      <c r="Y237" s="355"/>
      <c r="Z237" s="355"/>
      <c r="AA237" s="355"/>
      <c r="AB237" s="355"/>
      <c r="AC237" s="355"/>
      <c r="AD237" s="355"/>
      <c r="AE237" s="355"/>
      <c r="AF237" s="355"/>
      <c r="AG237" s="355"/>
      <c r="AH237" s="355"/>
    </row>
    <row r="238" spans="1:34" x14ac:dyDescent="0.2">
      <c r="A238" s="355"/>
      <c r="B238" s="355"/>
      <c r="C238" s="355"/>
      <c r="D238" s="355"/>
      <c r="E238" s="355"/>
      <c r="F238" s="355"/>
      <c r="G238" s="355"/>
      <c r="H238" s="355"/>
      <c r="I238" s="355"/>
      <c r="J238" s="355"/>
      <c r="K238" s="598"/>
      <c r="L238" s="355"/>
      <c r="M238" s="355"/>
      <c r="N238" s="355"/>
      <c r="O238" s="355"/>
      <c r="R238" s="355"/>
      <c r="S238" s="355"/>
      <c r="T238" s="355"/>
      <c r="U238" s="355"/>
      <c r="V238" s="355"/>
      <c r="W238" s="355"/>
      <c r="X238" s="355"/>
      <c r="Y238" s="355"/>
      <c r="Z238" s="355"/>
      <c r="AA238" s="355"/>
      <c r="AB238" s="355"/>
      <c r="AC238" s="355"/>
      <c r="AD238" s="355"/>
      <c r="AE238" s="355"/>
      <c r="AF238" s="355"/>
      <c r="AG238" s="355"/>
      <c r="AH238" s="355"/>
    </row>
    <row r="239" spans="1:34" x14ac:dyDescent="0.2">
      <c r="A239" s="355"/>
      <c r="B239" s="355"/>
      <c r="C239" s="355"/>
      <c r="D239" s="355"/>
      <c r="E239" s="355"/>
      <c r="F239" s="355"/>
      <c r="G239" s="355"/>
      <c r="H239" s="355"/>
      <c r="I239" s="355"/>
      <c r="J239" s="355"/>
      <c r="K239" s="598"/>
      <c r="L239" s="355"/>
      <c r="M239" s="355"/>
      <c r="N239" s="355"/>
      <c r="O239" s="355"/>
      <c r="R239" s="355"/>
      <c r="S239" s="355"/>
      <c r="T239" s="355"/>
      <c r="U239" s="355"/>
      <c r="V239" s="355"/>
      <c r="W239" s="355"/>
      <c r="X239" s="355"/>
      <c r="Y239" s="355"/>
      <c r="Z239" s="355"/>
      <c r="AA239" s="355"/>
      <c r="AB239" s="355"/>
      <c r="AC239" s="355"/>
      <c r="AD239" s="355"/>
      <c r="AE239" s="355"/>
      <c r="AF239" s="355"/>
      <c r="AG239" s="355"/>
      <c r="AH239" s="355"/>
    </row>
    <row r="240" spans="1:34" x14ac:dyDescent="0.2">
      <c r="A240" s="355"/>
      <c r="B240" s="355"/>
      <c r="C240" s="355"/>
      <c r="D240" s="355"/>
      <c r="E240" s="355"/>
      <c r="F240" s="355"/>
      <c r="G240" s="355"/>
      <c r="H240" s="355"/>
      <c r="I240" s="355"/>
      <c r="J240" s="355"/>
      <c r="K240" s="598"/>
      <c r="L240" s="355"/>
      <c r="M240" s="355"/>
      <c r="N240" s="355"/>
      <c r="O240" s="355"/>
      <c r="R240" s="355"/>
      <c r="S240" s="355"/>
      <c r="T240" s="355"/>
      <c r="U240" s="355"/>
      <c r="V240" s="355"/>
      <c r="W240" s="355"/>
      <c r="X240" s="355"/>
      <c r="Y240" s="355"/>
      <c r="Z240" s="355"/>
      <c r="AA240" s="355"/>
      <c r="AB240" s="355"/>
      <c r="AC240" s="355"/>
      <c r="AD240" s="355"/>
      <c r="AE240" s="355"/>
      <c r="AF240" s="355"/>
      <c r="AG240" s="355"/>
      <c r="AH240" s="355"/>
    </row>
    <row r="241" spans="1:34" x14ac:dyDescent="0.2">
      <c r="A241" s="355"/>
      <c r="B241" s="355"/>
      <c r="C241" s="355"/>
      <c r="D241" s="355"/>
      <c r="E241" s="355"/>
      <c r="F241" s="355"/>
      <c r="G241" s="355"/>
      <c r="H241" s="355"/>
      <c r="I241" s="355"/>
      <c r="J241" s="355"/>
      <c r="K241" s="598"/>
      <c r="L241" s="355"/>
      <c r="M241" s="355"/>
      <c r="N241" s="355"/>
      <c r="O241" s="355"/>
      <c r="R241" s="355"/>
      <c r="S241" s="355"/>
      <c r="T241" s="355"/>
      <c r="U241" s="355"/>
      <c r="V241" s="355"/>
      <c r="W241" s="355"/>
      <c r="X241" s="355"/>
      <c r="Y241" s="355"/>
      <c r="Z241" s="355"/>
      <c r="AA241" s="355"/>
      <c r="AB241" s="355"/>
      <c r="AC241" s="355"/>
      <c r="AD241" s="355"/>
      <c r="AE241" s="355"/>
      <c r="AF241" s="355"/>
      <c r="AG241" s="355"/>
      <c r="AH241" s="355"/>
    </row>
    <row r="242" spans="1:34" x14ac:dyDescent="0.2">
      <c r="A242" s="355"/>
      <c r="B242" s="355"/>
      <c r="C242" s="355"/>
      <c r="D242" s="355"/>
      <c r="E242" s="355"/>
      <c r="F242" s="355"/>
      <c r="G242" s="355"/>
      <c r="H242" s="355"/>
      <c r="I242" s="355"/>
      <c r="J242" s="355"/>
      <c r="K242" s="598"/>
      <c r="L242" s="355"/>
      <c r="M242" s="355"/>
      <c r="N242" s="355"/>
      <c r="O242" s="355"/>
      <c r="R242" s="355"/>
      <c r="S242" s="355"/>
      <c r="T242" s="355"/>
      <c r="U242" s="355"/>
      <c r="V242" s="355"/>
      <c r="W242" s="355"/>
      <c r="X242" s="355"/>
      <c r="Y242" s="355"/>
      <c r="Z242" s="355"/>
      <c r="AA242" s="355"/>
      <c r="AB242" s="355"/>
      <c r="AC242" s="355"/>
      <c r="AD242" s="355"/>
      <c r="AE242" s="355"/>
      <c r="AF242" s="355"/>
      <c r="AG242" s="355"/>
      <c r="AH242" s="355"/>
    </row>
    <row r="243" spans="1:34" x14ac:dyDescent="0.2">
      <c r="A243" s="355"/>
      <c r="B243" s="355"/>
      <c r="C243" s="355"/>
      <c r="D243" s="355"/>
      <c r="E243" s="355"/>
      <c r="F243" s="355"/>
      <c r="G243" s="355"/>
      <c r="H243" s="355"/>
      <c r="I243" s="355"/>
      <c r="J243" s="355"/>
      <c r="K243" s="598"/>
      <c r="L243" s="355"/>
      <c r="M243" s="355"/>
      <c r="N243" s="355"/>
      <c r="O243" s="355"/>
      <c r="R243" s="355"/>
      <c r="S243" s="355"/>
      <c r="T243" s="355"/>
      <c r="U243" s="355"/>
      <c r="V243" s="355"/>
      <c r="W243" s="355"/>
      <c r="X243" s="355"/>
      <c r="Y243" s="355"/>
      <c r="Z243" s="355"/>
      <c r="AA243" s="355"/>
      <c r="AB243" s="355"/>
      <c r="AC243" s="355"/>
      <c r="AD243" s="355"/>
      <c r="AE243" s="355"/>
      <c r="AF243" s="355"/>
      <c r="AG243" s="355"/>
      <c r="AH243" s="355"/>
    </row>
    <row r="244" spans="1:34" x14ac:dyDescent="0.2">
      <c r="A244" s="355"/>
      <c r="B244" s="355"/>
      <c r="C244" s="355"/>
      <c r="D244" s="355"/>
      <c r="E244" s="355"/>
      <c r="F244" s="355"/>
      <c r="G244" s="355"/>
      <c r="H244" s="355"/>
      <c r="I244" s="355"/>
      <c r="J244" s="355"/>
      <c r="K244" s="598"/>
      <c r="L244" s="355"/>
      <c r="M244" s="355"/>
      <c r="N244" s="355"/>
      <c r="O244" s="355"/>
      <c r="R244" s="355"/>
      <c r="S244" s="355"/>
      <c r="T244" s="355"/>
      <c r="U244" s="355"/>
      <c r="V244" s="355"/>
      <c r="W244" s="355"/>
      <c r="X244" s="355"/>
      <c r="Y244" s="355"/>
      <c r="Z244" s="355"/>
      <c r="AA244" s="355"/>
      <c r="AB244" s="355"/>
      <c r="AC244" s="355"/>
      <c r="AD244" s="355"/>
      <c r="AE244" s="355"/>
      <c r="AF244" s="355"/>
      <c r="AG244" s="355"/>
      <c r="AH244" s="355"/>
    </row>
    <row r="245" spans="1:34" x14ac:dyDescent="0.2">
      <c r="A245" s="355"/>
      <c r="B245" s="355"/>
      <c r="C245" s="355"/>
      <c r="D245" s="355"/>
      <c r="E245" s="355"/>
      <c r="F245" s="355"/>
      <c r="G245" s="355"/>
      <c r="H245" s="355"/>
      <c r="I245" s="355"/>
      <c r="J245" s="355"/>
      <c r="K245" s="598"/>
      <c r="L245" s="355"/>
      <c r="M245" s="355"/>
      <c r="N245" s="355"/>
      <c r="O245" s="355"/>
      <c r="R245" s="355"/>
      <c r="S245" s="355"/>
      <c r="T245" s="355"/>
      <c r="U245" s="355"/>
      <c r="V245" s="355"/>
      <c r="W245" s="355"/>
      <c r="X245" s="355"/>
      <c r="Y245" s="355"/>
      <c r="Z245" s="355"/>
      <c r="AA245" s="355"/>
      <c r="AB245" s="355"/>
      <c r="AC245" s="355"/>
      <c r="AD245" s="355"/>
      <c r="AE245" s="355"/>
      <c r="AF245" s="355"/>
      <c r="AG245" s="355"/>
      <c r="AH245" s="355"/>
    </row>
    <row r="246" spans="1:34" x14ac:dyDescent="0.2">
      <c r="A246" s="355"/>
      <c r="B246" s="355"/>
      <c r="C246" s="355"/>
      <c r="D246" s="355"/>
      <c r="E246" s="355"/>
      <c r="F246" s="355"/>
      <c r="G246" s="355"/>
      <c r="H246" s="355"/>
      <c r="I246" s="355"/>
      <c r="J246" s="355"/>
      <c r="K246" s="598"/>
      <c r="L246" s="355"/>
      <c r="M246" s="355"/>
      <c r="N246" s="355"/>
      <c r="O246" s="355"/>
      <c r="R246" s="355"/>
      <c r="S246" s="355"/>
      <c r="T246" s="355"/>
      <c r="U246" s="355"/>
      <c r="V246" s="355"/>
      <c r="W246" s="355"/>
      <c r="X246" s="355"/>
      <c r="Y246" s="355"/>
      <c r="Z246" s="355"/>
      <c r="AA246" s="355"/>
      <c r="AB246" s="355"/>
      <c r="AC246" s="355"/>
      <c r="AD246" s="355"/>
      <c r="AE246" s="355"/>
      <c r="AF246" s="355"/>
      <c r="AG246" s="355"/>
      <c r="AH246" s="355"/>
    </row>
    <row r="247" spans="1:34" x14ac:dyDescent="0.2">
      <c r="A247" s="355"/>
      <c r="B247" s="355"/>
      <c r="C247" s="355"/>
      <c r="D247" s="355"/>
      <c r="E247" s="355"/>
      <c r="F247" s="355"/>
      <c r="G247" s="355"/>
      <c r="H247" s="355"/>
      <c r="I247" s="355"/>
      <c r="J247" s="355"/>
      <c r="K247" s="598"/>
      <c r="L247" s="355"/>
      <c r="M247" s="355"/>
      <c r="N247" s="355"/>
      <c r="O247" s="355"/>
      <c r="R247" s="355"/>
      <c r="S247" s="355"/>
      <c r="T247" s="355"/>
      <c r="U247" s="355"/>
      <c r="V247" s="355"/>
      <c r="W247" s="355"/>
      <c r="X247" s="355"/>
      <c r="Y247" s="355"/>
      <c r="Z247" s="355"/>
      <c r="AA247" s="355"/>
      <c r="AB247" s="355"/>
      <c r="AC247" s="355"/>
      <c r="AD247" s="355"/>
      <c r="AE247" s="355"/>
      <c r="AF247" s="355"/>
      <c r="AG247" s="355"/>
      <c r="AH247" s="355"/>
    </row>
    <row r="248" spans="1:34" x14ac:dyDescent="0.2">
      <c r="A248" s="355"/>
      <c r="B248" s="355"/>
      <c r="C248" s="355"/>
      <c r="D248" s="355"/>
      <c r="E248" s="355"/>
      <c r="F248" s="355"/>
      <c r="G248" s="355"/>
      <c r="H248" s="355"/>
      <c r="I248" s="355"/>
      <c r="J248" s="355"/>
      <c r="K248" s="598"/>
      <c r="L248" s="355"/>
      <c r="M248" s="355"/>
      <c r="N248" s="355"/>
      <c r="O248" s="355"/>
      <c r="R248" s="355"/>
      <c r="S248" s="355"/>
      <c r="T248" s="355"/>
      <c r="U248" s="355"/>
      <c r="V248" s="355"/>
      <c r="W248" s="355"/>
      <c r="X248" s="355"/>
      <c r="Y248" s="355"/>
      <c r="Z248" s="355"/>
      <c r="AA248" s="355"/>
      <c r="AB248" s="355"/>
      <c r="AC248" s="355"/>
      <c r="AD248" s="355"/>
      <c r="AE248" s="355"/>
      <c r="AF248" s="355"/>
      <c r="AG248" s="355"/>
      <c r="AH248" s="355"/>
    </row>
    <row r="249" spans="1:34" x14ac:dyDescent="0.2">
      <c r="A249" s="355"/>
      <c r="B249" s="355"/>
      <c r="C249" s="355"/>
      <c r="D249" s="355"/>
      <c r="E249" s="355"/>
      <c r="F249" s="355"/>
      <c r="G249" s="355"/>
      <c r="H249" s="355"/>
      <c r="I249" s="355"/>
      <c r="J249" s="355"/>
      <c r="K249" s="598"/>
      <c r="L249" s="355"/>
      <c r="M249" s="355"/>
      <c r="N249" s="355"/>
      <c r="O249" s="355"/>
      <c r="R249" s="355"/>
      <c r="S249" s="355"/>
      <c r="T249" s="355"/>
      <c r="U249" s="355"/>
      <c r="V249" s="355"/>
      <c r="W249" s="355"/>
      <c r="X249" s="355"/>
      <c r="Y249" s="355"/>
      <c r="Z249" s="355"/>
      <c r="AA249" s="355"/>
      <c r="AB249" s="355"/>
      <c r="AC249" s="355"/>
      <c r="AD249" s="355"/>
      <c r="AE249" s="355"/>
      <c r="AF249" s="355"/>
      <c r="AG249" s="355"/>
      <c r="AH249" s="355"/>
    </row>
    <row r="250" spans="1:34" x14ac:dyDescent="0.2">
      <c r="A250" s="355"/>
      <c r="B250" s="355"/>
      <c r="C250" s="355"/>
      <c r="D250" s="355"/>
      <c r="E250" s="355"/>
      <c r="F250" s="355"/>
      <c r="G250" s="355"/>
      <c r="H250" s="355"/>
      <c r="I250" s="355"/>
      <c r="J250" s="355"/>
      <c r="K250" s="598"/>
      <c r="L250" s="355"/>
      <c r="M250" s="355"/>
      <c r="N250" s="355"/>
      <c r="O250" s="355"/>
      <c r="R250" s="355"/>
      <c r="S250" s="355"/>
      <c r="T250" s="355"/>
      <c r="U250" s="355"/>
      <c r="V250" s="355"/>
      <c r="W250" s="355"/>
      <c r="X250" s="355"/>
      <c r="Y250" s="355"/>
      <c r="Z250" s="355"/>
      <c r="AA250" s="355"/>
      <c r="AB250" s="355"/>
      <c r="AC250" s="355"/>
      <c r="AD250" s="355"/>
      <c r="AE250" s="355"/>
      <c r="AF250" s="355"/>
      <c r="AG250" s="355"/>
      <c r="AH250" s="355"/>
    </row>
    <row r="251" spans="1:34" x14ac:dyDescent="0.2">
      <c r="A251" s="355"/>
      <c r="B251" s="355"/>
      <c r="C251" s="355"/>
      <c r="D251" s="355"/>
      <c r="E251" s="355"/>
      <c r="F251" s="355"/>
      <c r="G251" s="355"/>
      <c r="H251" s="355"/>
      <c r="I251" s="355"/>
      <c r="J251" s="355"/>
      <c r="K251" s="598"/>
      <c r="L251" s="355"/>
      <c r="M251" s="355"/>
      <c r="N251" s="355"/>
      <c r="O251" s="355"/>
      <c r="R251" s="355"/>
      <c r="S251" s="355"/>
      <c r="T251" s="355"/>
      <c r="U251" s="355"/>
      <c r="V251" s="355"/>
      <c r="W251" s="355"/>
      <c r="X251" s="355"/>
      <c r="Y251" s="355"/>
      <c r="Z251" s="355"/>
      <c r="AA251" s="355"/>
      <c r="AB251" s="355"/>
      <c r="AC251" s="355"/>
      <c r="AD251" s="355"/>
      <c r="AE251" s="355"/>
      <c r="AF251" s="355"/>
      <c r="AG251" s="355"/>
      <c r="AH251" s="355"/>
    </row>
    <row r="252" spans="1:34" x14ac:dyDescent="0.2">
      <c r="A252" s="355"/>
      <c r="B252" s="355"/>
      <c r="C252" s="355"/>
      <c r="D252" s="355"/>
      <c r="E252" s="355"/>
      <c r="F252" s="355"/>
      <c r="G252" s="355"/>
      <c r="H252" s="355"/>
      <c r="I252" s="355"/>
      <c r="J252" s="355"/>
      <c r="K252" s="598"/>
      <c r="L252" s="355"/>
      <c r="M252" s="355"/>
      <c r="N252" s="355"/>
      <c r="O252" s="355"/>
      <c r="R252" s="355"/>
      <c r="S252" s="355"/>
      <c r="T252" s="355"/>
      <c r="U252" s="355"/>
      <c r="V252" s="355"/>
      <c r="W252" s="355"/>
      <c r="X252" s="355"/>
      <c r="Y252" s="355"/>
      <c r="Z252" s="355"/>
      <c r="AA252" s="355"/>
      <c r="AB252" s="355"/>
      <c r="AC252" s="355"/>
      <c r="AD252" s="355"/>
      <c r="AE252" s="355"/>
      <c r="AF252" s="355"/>
      <c r="AG252" s="355"/>
      <c r="AH252" s="355"/>
    </row>
    <row r="253" spans="1:34" x14ac:dyDescent="0.2">
      <c r="A253" s="355"/>
      <c r="B253" s="355"/>
      <c r="C253" s="355"/>
      <c r="D253" s="355"/>
      <c r="E253" s="355"/>
      <c r="F253" s="355"/>
      <c r="G253" s="355"/>
      <c r="H253" s="355"/>
      <c r="I253" s="355"/>
      <c r="J253" s="355"/>
      <c r="K253" s="598"/>
      <c r="L253" s="355"/>
      <c r="M253" s="355"/>
      <c r="N253" s="355"/>
      <c r="O253" s="355"/>
      <c r="R253" s="355"/>
      <c r="S253" s="355"/>
      <c r="T253" s="355"/>
      <c r="U253" s="355"/>
      <c r="V253" s="355"/>
      <c r="W253" s="355"/>
      <c r="X253" s="355"/>
      <c r="Y253" s="355"/>
      <c r="Z253" s="355"/>
      <c r="AA253" s="355"/>
      <c r="AB253" s="355"/>
      <c r="AC253" s="355"/>
      <c r="AD253" s="355"/>
      <c r="AE253" s="355"/>
      <c r="AF253" s="355"/>
      <c r="AG253" s="355"/>
      <c r="AH253" s="355"/>
    </row>
    <row r="254" spans="1:34" x14ac:dyDescent="0.2">
      <c r="A254" s="355"/>
      <c r="B254" s="355"/>
      <c r="C254" s="355"/>
      <c r="D254" s="355"/>
      <c r="E254" s="355"/>
      <c r="F254" s="355"/>
      <c r="G254" s="355"/>
      <c r="H254" s="355"/>
      <c r="I254" s="355"/>
      <c r="J254" s="355"/>
      <c r="K254" s="598"/>
      <c r="L254" s="355"/>
      <c r="M254" s="355"/>
      <c r="N254" s="355"/>
      <c r="O254" s="355"/>
      <c r="R254" s="355"/>
      <c r="S254" s="355"/>
      <c r="T254" s="355"/>
      <c r="U254" s="355"/>
      <c r="V254" s="355"/>
      <c r="W254" s="355"/>
      <c r="X254" s="355"/>
      <c r="Y254" s="355"/>
      <c r="Z254" s="355"/>
      <c r="AA254" s="355"/>
      <c r="AB254" s="355"/>
      <c r="AC254" s="355"/>
      <c r="AD254" s="355"/>
      <c r="AE254" s="355"/>
      <c r="AF254" s="355"/>
      <c r="AG254" s="355"/>
      <c r="AH254" s="355"/>
    </row>
    <row r="255" spans="1:34" x14ac:dyDescent="0.2">
      <c r="A255" s="355"/>
      <c r="B255" s="355"/>
      <c r="C255" s="355"/>
      <c r="D255" s="355"/>
      <c r="E255" s="355"/>
      <c r="F255" s="355"/>
      <c r="G255" s="355"/>
      <c r="H255" s="355"/>
      <c r="I255" s="355"/>
      <c r="J255" s="355"/>
      <c r="K255" s="598"/>
      <c r="L255" s="355"/>
      <c r="M255" s="355"/>
      <c r="N255" s="355"/>
      <c r="O255" s="355"/>
      <c r="R255" s="355"/>
      <c r="S255" s="355"/>
      <c r="T255" s="355"/>
      <c r="U255" s="355"/>
      <c r="V255" s="355"/>
      <c r="W255" s="355"/>
      <c r="X255" s="355"/>
      <c r="Y255" s="355"/>
      <c r="Z255" s="355"/>
      <c r="AA255" s="355"/>
      <c r="AB255" s="355"/>
      <c r="AC255" s="355"/>
      <c r="AD255" s="355"/>
      <c r="AE255" s="355"/>
      <c r="AF255" s="355"/>
      <c r="AG255" s="355"/>
      <c r="AH255" s="355"/>
    </row>
    <row r="256" spans="1:34" x14ac:dyDescent="0.2">
      <c r="A256" s="355"/>
      <c r="B256" s="355"/>
      <c r="C256" s="355"/>
      <c r="D256" s="355"/>
      <c r="E256" s="355"/>
      <c r="F256" s="355"/>
      <c r="G256" s="355"/>
      <c r="H256" s="355"/>
      <c r="I256" s="355"/>
      <c r="J256" s="355"/>
      <c r="K256" s="598"/>
      <c r="L256" s="355"/>
      <c r="M256" s="355"/>
      <c r="N256" s="355"/>
      <c r="O256" s="355"/>
      <c r="R256" s="355"/>
      <c r="S256" s="355"/>
      <c r="T256" s="355"/>
      <c r="U256" s="355"/>
      <c r="V256" s="355"/>
      <c r="W256" s="355"/>
      <c r="X256" s="355"/>
      <c r="Y256" s="355"/>
      <c r="Z256" s="355"/>
      <c r="AA256" s="355"/>
      <c r="AB256" s="355"/>
      <c r="AC256" s="355"/>
      <c r="AD256" s="355"/>
      <c r="AE256" s="355"/>
      <c r="AF256" s="355"/>
      <c r="AG256" s="355"/>
      <c r="AH256" s="355"/>
    </row>
    <row r="257" spans="1:34" x14ac:dyDescent="0.2">
      <c r="A257" s="355"/>
      <c r="B257" s="355"/>
      <c r="C257" s="355"/>
      <c r="D257" s="355"/>
      <c r="E257" s="355"/>
      <c r="F257" s="355"/>
      <c r="G257" s="355"/>
      <c r="H257" s="355"/>
      <c r="I257" s="355"/>
      <c r="J257" s="355"/>
      <c r="K257" s="598"/>
      <c r="L257" s="355"/>
      <c r="M257" s="355"/>
      <c r="N257" s="355"/>
      <c r="O257" s="355"/>
      <c r="R257" s="355"/>
      <c r="S257" s="355"/>
      <c r="T257" s="355"/>
      <c r="U257" s="355"/>
      <c r="V257" s="355"/>
      <c r="W257" s="355"/>
      <c r="X257" s="355"/>
      <c r="Y257" s="355"/>
      <c r="Z257" s="355"/>
      <c r="AA257" s="355"/>
      <c r="AB257" s="355"/>
      <c r="AC257" s="355"/>
      <c r="AD257" s="355"/>
      <c r="AE257" s="355"/>
      <c r="AF257" s="355"/>
      <c r="AG257" s="355"/>
      <c r="AH257" s="355"/>
    </row>
    <row r="258" spans="1:34" x14ac:dyDescent="0.2">
      <c r="A258" s="355"/>
      <c r="B258" s="355"/>
      <c r="C258" s="355"/>
      <c r="D258" s="355"/>
      <c r="E258" s="355"/>
      <c r="F258" s="355"/>
      <c r="G258" s="355"/>
      <c r="H258" s="355"/>
      <c r="I258" s="355"/>
      <c r="J258" s="355"/>
      <c r="K258" s="598"/>
      <c r="L258" s="355"/>
      <c r="M258" s="355"/>
      <c r="N258" s="355"/>
      <c r="O258" s="355"/>
      <c r="R258" s="355"/>
      <c r="S258" s="355"/>
      <c r="T258" s="355"/>
      <c r="U258" s="355"/>
      <c r="V258" s="355"/>
      <c r="W258" s="355"/>
      <c r="X258" s="355"/>
      <c r="Y258" s="355"/>
      <c r="Z258" s="355"/>
      <c r="AA258" s="355"/>
      <c r="AB258" s="355"/>
      <c r="AC258" s="355"/>
      <c r="AD258" s="355"/>
      <c r="AE258" s="355"/>
      <c r="AF258" s="355"/>
      <c r="AG258" s="355"/>
      <c r="AH258" s="355"/>
    </row>
    <row r="259" spans="1:34" x14ac:dyDescent="0.2">
      <c r="A259" s="355"/>
      <c r="B259" s="355"/>
      <c r="C259" s="355"/>
      <c r="D259" s="355"/>
      <c r="E259" s="355"/>
      <c r="F259" s="355"/>
      <c r="G259" s="355"/>
      <c r="H259" s="355"/>
      <c r="I259" s="355"/>
      <c r="J259" s="355"/>
      <c r="K259" s="598"/>
      <c r="L259" s="355"/>
      <c r="M259" s="355"/>
      <c r="N259" s="355"/>
      <c r="O259" s="355"/>
      <c r="R259" s="355"/>
      <c r="S259" s="355"/>
      <c r="T259" s="355"/>
      <c r="U259" s="355"/>
      <c r="V259" s="355"/>
      <c r="W259" s="355"/>
      <c r="X259" s="355"/>
      <c r="Y259" s="355"/>
      <c r="Z259" s="355"/>
      <c r="AA259" s="355"/>
      <c r="AB259" s="355"/>
      <c r="AC259" s="355"/>
      <c r="AD259" s="355"/>
      <c r="AE259" s="355"/>
      <c r="AF259" s="355"/>
      <c r="AG259" s="355"/>
      <c r="AH259" s="355"/>
    </row>
    <row r="260" spans="1:34" x14ac:dyDescent="0.2">
      <c r="A260" s="355"/>
      <c r="B260" s="355"/>
      <c r="C260" s="355"/>
      <c r="D260" s="355"/>
      <c r="E260" s="355"/>
      <c r="F260" s="355"/>
      <c r="G260" s="355"/>
      <c r="H260" s="355"/>
      <c r="I260" s="355"/>
      <c r="J260" s="355"/>
      <c r="K260" s="598"/>
      <c r="L260" s="355"/>
      <c r="M260" s="355"/>
      <c r="N260" s="355"/>
      <c r="O260" s="355"/>
      <c r="R260" s="355"/>
      <c r="S260" s="355"/>
      <c r="T260" s="355"/>
      <c r="U260" s="355"/>
      <c r="V260" s="355"/>
      <c r="W260" s="355"/>
      <c r="X260" s="355"/>
      <c r="Y260" s="355"/>
      <c r="Z260" s="355"/>
      <c r="AA260" s="355"/>
      <c r="AB260" s="355"/>
      <c r="AC260" s="355"/>
      <c r="AD260" s="355"/>
      <c r="AE260" s="355"/>
      <c r="AF260" s="355"/>
      <c r="AG260" s="355"/>
      <c r="AH260" s="355"/>
    </row>
    <row r="261" spans="1:34" x14ac:dyDescent="0.2">
      <c r="A261" s="355"/>
      <c r="B261" s="355"/>
      <c r="C261" s="355"/>
      <c r="D261" s="355"/>
      <c r="E261" s="355"/>
      <c r="F261" s="355"/>
      <c r="G261" s="355"/>
      <c r="H261" s="355"/>
      <c r="I261" s="355"/>
      <c r="J261" s="355"/>
      <c r="K261" s="598"/>
      <c r="L261" s="355"/>
      <c r="M261" s="355"/>
      <c r="N261" s="355"/>
      <c r="O261" s="355"/>
      <c r="R261" s="355"/>
      <c r="S261" s="355"/>
      <c r="T261" s="355"/>
      <c r="U261" s="355"/>
      <c r="V261" s="355"/>
      <c r="W261" s="355"/>
      <c r="X261" s="355"/>
      <c r="Y261" s="355"/>
      <c r="Z261" s="355"/>
      <c r="AA261" s="355"/>
      <c r="AB261" s="355"/>
      <c r="AC261" s="355"/>
      <c r="AD261" s="355"/>
      <c r="AE261" s="355"/>
      <c r="AF261" s="355"/>
      <c r="AG261" s="355"/>
      <c r="AH261" s="355"/>
    </row>
    <row r="262" spans="1:34" x14ac:dyDescent="0.2">
      <c r="A262" s="355"/>
      <c r="B262" s="355"/>
      <c r="C262" s="355"/>
      <c r="D262" s="355"/>
      <c r="E262" s="355"/>
      <c r="F262" s="355"/>
      <c r="G262" s="355"/>
      <c r="H262" s="355"/>
      <c r="I262" s="355"/>
      <c r="J262" s="355"/>
      <c r="K262" s="598"/>
      <c r="L262" s="355"/>
      <c r="M262" s="355"/>
      <c r="N262" s="355"/>
      <c r="O262" s="355"/>
      <c r="R262" s="355"/>
      <c r="S262" s="355"/>
      <c r="T262" s="355"/>
      <c r="U262" s="355"/>
      <c r="V262" s="355"/>
      <c r="W262" s="355"/>
      <c r="X262" s="355"/>
      <c r="Y262" s="355"/>
      <c r="Z262" s="355"/>
      <c r="AA262" s="355"/>
      <c r="AB262" s="355"/>
      <c r="AC262" s="355"/>
      <c r="AD262" s="355"/>
      <c r="AE262" s="355"/>
      <c r="AF262" s="355"/>
      <c r="AG262" s="355"/>
      <c r="AH262" s="355"/>
    </row>
    <row r="263" spans="1:34" x14ac:dyDescent="0.2">
      <c r="A263" s="355"/>
      <c r="B263" s="355"/>
      <c r="C263" s="355"/>
      <c r="D263" s="355"/>
      <c r="E263" s="355"/>
      <c r="F263" s="355"/>
      <c r="G263" s="355"/>
      <c r="H263" s="355"/>
      <c r="I263" s="355"/>
      <c r="J263" s="355"/>
      <c r="K263" s="598"/>
      <c r="L263" s="355"/>
      <c r="M263" s="355"/>
      <c r="N263" s="355"/>
      <c r="O263" s="355"/>
      <c r="R263" s="355"/>
      <c r="S263" s="355"/>
      <c r="T263" s="355"/>
      <c r="U263" s="355"/>
      <c r="V263" s="355"/>
      <c r="W263" s="355"/>
      <c r="X263" s="355"/>
      <c r="Y263" s="355"/>
      <c r="Z263" s="355"/>
      <c r="AA263" s="355"/>
      <c r="AB263" s="355"/>
      <c r="AC263" s="355"/>
      <c r="AD263" s="355"/>
      <c r="AE263" s="355"/>
      <c r="AF263" s="355"/>
      <c r="AG263" s="355"/>
      <c r="AH263" s="355"/>
    </row>
    <row r="264" spans="1:34" x14ac:dyDescent="0.2">
      <c r="A264" s="355"/>
      <c r="B264" s="355"/>
      <c r="C264" s="355"/>
      <c r="D264" s="355"/>
      <c r="E264" s="355"/>
      <c r="F264" s="355"/>
      <c r="G264" s="355"/>
      <c r="H264" s="355"/>
      <c r="I264" s="355"/>
      <c r="J264" s="355"/>
      <c r="K264" s="598"/>
      <c r="L264" s="355"/>
      <c r="M264" s="355"/>
      <c r="N264" s="355"/>
      <c r="O264" s="355"/>
      <c r="R264" s="355"/>
      <c r="S264" s="355"/>
      <c r="T264" s="355"/>
      <c r="U264" s="355"/>
      <c r="V264" s="355"/>
      <c r="W264" s="355"/>
      <c r="X264" s="355"/>
      <c r="Y264" s="355"/>
      <c r="Z264" s="355"/>
      <c r="AA264" s="355"/>
      <c r="AB264" s="355"/>
      <c r="AC264" s="355"/>
      <c r="AD264" s="355"/>
      <c r="AE264" s="355"/>
      <c r="AF264" s="355"/>
      <c r="AG264" s="355"/>
      <c r="AH264" s="355"/>
    </row>
    <row r="265" spans="1:34" x14ac:dyDescent="0.2">
      <c r="A265" s="355"/>
      <c r="B265" s="355"/>
      <c r="C265" s="355"/>
      <c r="D265" s="355"/>
      <c r="E265" s="355"/>
      <c r="F265" s="355"/>
      <c r="G265" s="355"/>
      <c r="H265" s="355"/>
      <c r="I265" s="355"/>
      <c r="J265" s="355"/>
      <c r="K265" s="598"/>
      <c r="L265" s="355"/>
      <c r="M265" s="355"/>
      <c r="N265" s="355"/>
      <c r="O265" s="355"/>
      <c r="R265" s="355"/>
      <c r="S265" s="355"/>
      <c r="T265" s="355"/>
      <c r="U265" s="355"/>
      <c r="V265" s="355"/>
      <c r="W265" s="355"/>
      <c r="X265" s="355"/>
      <c r="Y265" s="355"/>
      <c r="Z265" s="355"/>
      <c r="AA265" s="355"/>
      <c r="AB265" s="355"/>
      <c r="AC265" s="355"/>
      <c r="AD265" s="355"/>
      <c r="AE265" s="355"/>
      <c r="AF265" s="355"/>
      <c r="AG265" s="355"/>
      <c r="AH265" s="355"/>
    </row>
    <row r="266" spans="1:34" x14ac:dyDescent="0.2">
      <c r="A266" s="355"/>
      <c r="B266" s="355"/>
      <c r="C266" s="355"/>
      <c r="D266" s="355"/>
      <c r="E266" s="355"/>
      <c r="F266" s="355"/>
      <c r="G266" s="355"/>
      <c r="H266" s="355"/>
      <c r="I266" s="355"/>
      <c r="J266" s="355"/>
      <c r="K266" s="598"/>
      <c r="L266" s="355"/>
      <c r="M266" s="355"/>
      <c r="N266" s="355"/>
      <c r="O266" s="355"/>
      <c r="R266" s="355"/>
      <c r="S266" s="355"/>
      <c r="T266" s="355"/>
      <c r="U266" s="355"/>
      <c r="V266" s="355"/>
      <c r="W266" s="355"/>
      <c r="X266" s="355"/>
      <c r="Y266" s="355"/>
      <c r="Z266" s="355"/>
      <c r="AA266" s="355"/>
      <c r="AB266" s="355"/>
      <c r="AC266" s="355"/>
      <c r="AD266" s="355"/>
      <c r="AE266" s="355"/>
      <c r="AF266" s="355"/>
      <c r="AG266" s="355"/>
      <c r="AH266" s="355"/>
    </row>
    <row r="267" spans="1:34" x14ac:dyDescent="0.2">
      <c r="A267" s="355"/>
      <c r="B267" s="355"/>
      <c r="C267" s="355"/>
      <c r="D267" s="355"/>
      <c r="E267" s="355"/>
      <c r="F267" s="355"/>
      <c r="G267" s="355"/>
      <c r="H267" s="355"/>
      <c r="I267" s="355"/>
      <c r="J267" s="355"/>
      <c r="K267" s="598"/>
      <c r="L267" s="355"/>
      <c r="M267" s="355"/>
      <c r="N267" s="355"/>
      <c r="O267" s="355"/>
      <c r="R267" s="355"/>
      <c r="S267" s="355"/>
      <c r="T267" s="355"/>
      <c r="U267" s="355"/>
      <c r="V267" s="355"/>
      <c r="W267" s="355"/>
      <c r="X267" s="355"/>
      <c r="Y267" s="355"/>
      <c r="Z267" s="355"/>
      <c r="AA267" s="355"/>
      <c r="AB267" s="355"/>
      <c r="AC267" s="355"/>
      <c r="AD267" s="355"/>
      <c r="AE267" s="355"/>
      <c r="AF267" s="355"/>
      <c r="AG267" s="355"/>
      <c r="AH267" s="355"/>
    </row>
    <row r="268" spans="1:34" x14ac:dyDescent="0.2">
      <c r="A268" s="355"/>
      <c r="B268" s="355"/>
      <c r="C268" s="355"/>
      <c r="D268" s="355"/>
      <c r="E268" s="355"/>
      <c r="F268" s="355"/>
      <c r="G268" s="355"/>
      <c r="H268" s="355"/>
      <c r="I268" s="355"/>
      <c r="J268" s="355"/>
      <c r="K268" s="598"/>
      <c r="L268" s="355"/>
      <c r="M268" s="355"/>
      <c r="N268" s="355"/>
      <c r="O268" s="355"/>
      <c r="R268" s="355"/>
      <c r="S268" s="355"/>
      <c r="T268" s="355"/>
      <c r="U268" s="355"/>
      <c r="V268" s="355"/>
      <c r="W268" s="355"/>
      <c r="X268" s="355"/>
      <c r="Y268" s="355"/>
      <c r="Z268" s="355"/>
      <c r="AA268" s="355"/>
      <c r="AB268" s="355"/>
      <c r="AC268" s="355"/>
      <c r="AD268" s="355"/>
      <c r="AE268" s="355"/>
      <c r="AF268" s="355"/>
      <c r="AG268" s="355"/>
      <c r="AH268" s="355"/>
    </row>
    <row r="269" spans="1:34" x14ac:dyDescent="0.2">
      <c r="A269" s="355"/>
      <c r="B269" s="355"/>
      <c r="C269" s="355"/>
      <c r="D269" s="355"/>
      <c r="E269" s="355"/>
      <c r="F269" s="355"/>
      <c r="G269" s="355"/>
      <c r="H269" s="355"/>
      <c r="I269" s="355"/>
      <c r="J269" s="355"/>
      <c r="K269" s="598"/>
      <c r="L269" s="355"/>
      <c r="M269" s="355"/>
      <c r="N269" s="355"/>
      <c r="O269" s="355"/>
      <c r="R269" s="355"/>
      <c r="S269" s="355"/>
      <c r="T269" s="355"/>
      <c r="U269" s="355"/>
      <c r="V269" s="355"/>
      <c r="W269" s="355"/>
      <c r="X269" s="355"/>
      <c r="Y269" s="355"/>
      <c r="Z269" s="355"/>
      <c r="AA269" s="355"/>
      <c r="AB269" s="355"/>
      <c r="AC269" s="355"/>
      <c r="AD269" s="355"/>
      <c r="AE269" s="355"/>
      <c r="AF269" s="355"/>
      <c r="AG269" s="355"/>
      <c r="AH269" s="355"/>
    </row>
    <row r="270" spans="1:34" x14ac:dyDescent="0.2">
      <c r="A270" s="355"/>
      <c r="B270" s="355"/>
      <c r="C270" s="355"/>
      <c r="D270" s="355"/>
      <c r="E270" s="355"/>
      <c r="F270" s="355"/>
      <c r="G270" s="355"/>
      <c r="H270" s="355"/>
      <c r="I270" s="355"/>
      <c r="J270" s="355"/>
      <c r="K270" s="598"/>
      <c r="L270" s="355"/>
      <c r="M270" s="355"/>
      <c r="N270" s="355"/>
      <c r="O270" s="355"/>
      <c r="R270" s="355"/>
      <c r="S270" s="355"/>
      <c r="T270" s="355"/>
      <c r="U270" s="355"/>
      <c r="V270" s="355"/>
      <c r="W270" s="355"/>
      <c r="X270" s="355"/>
      <c r="Y270" s="355"/>
      <c r="Z270" s="355"/>
      <c r="AA270" s="355"/>
      <c r="AB270" s="355"/>
      <c r="AC270" s="355"/>
      <c r="AD270" s="355"/>
      <c r="AE270" s="355"/>
      <c r="AF270" s="355"/>
      <c r="AG270" s="355"/>
      <c r="AH270" s="355"/>
    </row>
    <row r="271" spans="1:34" x14ac:dyDescent="0.2">
      <c r="A271" s="355"/>
      <c r="B271" s="355"/>
      <c r="C271" s="355"/>
      <c r="D271" s="355"/>
      <c r="E271" s="355"/>
      <c r="F271" s="355"/>
      <c r="G271" s="355"/>
      <c r="H271" s="355"/>
      <c r="I271" s="355"/>
      <c r="J271" s="355"/>
      <c r="K271" s="598"/>
      <c r="L271" s="355"/>
      <c r="M271" s="355"/>
      <c r="N271" s="355"/>
      <c r="O271" s="355"/>
      <c r="R271" s="355"/>
      <c r="S271" s="355"/>
      <c r="T271" s="355"/>
      <c r="U271" s="355"/>
      <c r="V271" s="355"/>
      <c r="W271" s="355"/>
      <c r="X271" s="355"/>
      <c r="Y271" s="355"/>
      <c r="Z271" s="355"/>
      <c r="AA271" s="355"/>
      <c r="AB271" s="355"/>
      <c r="AC271" s="355"/>
      <c r="AD271" s="355"/>
      <c r="AE271" s="355"/>
      <c r="AF271" s="355"/>
      <c r="AG271" s="355"/>
      <c r="AH271" s="355"/>
    </row>
    <row r="272" spans="1:34" x14ac:dyDescent="0.2">
      <c r="A272" s="355"/>
      <c r="B272" s="355"/>
      <c r="C272" s="355"/>
      <c r="D272" s="355"/>
      <c r="E272" s="355"/>
      <c r="F272" s="355"/>
      <c r="G272" s="355"/>
      <c r="H272" s="355"/>
      <c r="I272" s="355"/>
      <c r="J272" s="355"/>
      <c r="K272" s="598"/>
      <c r="L272" s="355"/>
      <c r="M272" s="355"/>
      <c r="N272" s="355"/>
      <c r="O272" s="355"/>
      <c r="R272" s="355"/>
      <c r="S272" s="355"/>
      <c r="T272" s="355"/>
      <c r="U272" s="355"/>
      <c r="V272" s="355"/>
      <c r="W272" s="355"/>
      <c r="X272" s="355"/>
      <c r="Y272" s="355"/>
      <c r="Z272" s="355"/>
      <c r="AA272" s="355"/>
      <c r="AB272" s="355"/>
      <c r="AC272" s="355"/>
      <c r="AD272" s="355"/>
      <c r="AE272" s="355"/>
      <c r="AF272" s="355"/>
      <c r="AG272" s="355"/>
      <c r="AH272" s="355"/>
    </row>
    <row r="273" spans="1:34" x14ac:dyDescent="0.2">
      <c r="A273" s="355"/>
      <c r="B273" s="355"/>
      <c r="C273" s="355"/>
      <c r="D273" s="355"/>
      <c r="E273" s="355"/>
      <c r="F273" s="355"/>
      <c r="G273" s="355"/>
      <c r="H273" s="355"/>
      <c r="I273" s="355"/>
      <c r="J273" s="355"/>
      <c r="K273" s="598"/>
      <c r="L273" s="355"/>
      <c r="M273" s="355"/>
      <c r="N273" s="355"/>
      <c r="O273" s="355"/>
      <c r="R273" s="355"/>
      <c r="S273" s="355"/>
      <c r="T273" s="355"/>
      <c r="U273" s="355"/>
      <c r="V273" s="355"/>
      <c r="W273" s="355"/>
      <c r="X273" s="355"/>
      <c r="Y273" s="355"/>
      <c r="Z273" s="355"/>
      <c r="AA273" s="355"/>
      <c r="AB273" s="355"/>
      <c r="AC273" s="355"/>
      <c r="AD273" s="355"/>
      <c r="AE273" s="355"/>
      <c r="AF273" s="355"/>
      <c r="AG273" s="355"/>
      <c r="AH273" s="355"/>
    </row>
    <row r="274" spans="1:34" x14ac:dyDescent="0.2">
      <c r="A274" s="355"/>
      <c r="B274" s="355"/>
      <c r="C274" s="355"/>
      <c r="D274" s="355"/>
      <c r="E274" s="355"/>
      <c r="F274" s="355"/>
      <c r="G274" s="355"/>
      <c r="H274" s="355"/>
      <c r="I274" s="355"/>
      <c r="J274" s="355"/>
      <c r="K274" s="598"/>
      <c r="L274" s="355"/>
      <c r="M274" s="355"/>
      <c r="N274" s="355"/>
      <c r="O274" s="355"/>
      <c r="R274" s="355"/>
      <c r="S274" s="355"/>
      <c r="T274" s="355"/>
      <c r="U274" s="355"/>
      <c r="V274" s="355"/>
      <c r="W274" s="355"/>
      <c r="X274" s="355"/>
      <c r="Y274" s="355"/>
      <c r="Z274" s="355"/>
      <c r="AA274" s="355"/>
      <c r="AB274" s="355"/>
      <c r="AC274" s="355"/>
      <c r="AD274" s="355"/>
      <c r="AE274" s="355"/>
      <c r="AF274" s="355"/>
      <c r="AG274" s="355"/>
      <c r="AH274" s="355"/>
    </row>
    <row r="275" spans="1:34" x14ac:dyDescent="0.2">
      <c r="A275" s="355"/>
      <c r="B275" s="355"/>
      <c r="C275" s="355"/>
      <c r="D275" s="355"/>
      <c r="E275" s="355"/>
      <c r="F275" s="355"/>
      <c r="G275" s="355"/>
      <c r="H275" s="355"/>
      <c r="I275" s="355"/>
      <c r="J275" s="355"/>
      <c r="K275" s="598"/>
      <c r="L275" s="355"/>
      <c r="M275" s="355"/>
      <c r="N275" s="355"/>
      <c r="O275" s="355"/>
      <c r="R275" s="355"/>
      <c r="S275" s="355"/>
      <c r="T275" s="355"/>
      <c r="U275" s="355"/>
      <c r="V275" s="355"/>
      <c r="W275" s="355"/>
      <c r="X275" s="355"/>
      <c r="Y275" s="355"/>
      <c r="Z275" s="355"/>
      <c r="AA275" s="355"/>
      <c r="AB275" s="355"/>
      <c r="AC275" s="355"/>
      <c r="AD275" s="355"/>
      <c r="AE275" s="355"/>
      <c r="AF275" s="355"/>
      <c r="AG275" s="355"/>
      <c r="AH275" s="355"/>
    </row>
    <row r="276" spans="1:34" x14ac:dyDescent="0.2">
      <c r="A276" s="355"/>
      <c r="B276" s="355"/>
      <c r="C276" s="355"/>
      <c r="D276" s="355"/>
      <c r="E276" s="355"/>
      <c r="F276" s="355"/>
      <c r="G276" s="355"/>
      <c r="H276" s="355"/>
      <c r="I276" s="355"/>
      <c r="J276" s="355"/>
      <c r="K276" s="598"/>
      <c r="L276" s="355"/>
      <c r="M276" s="355"/>
      <c r="N276" s="355"/>
      <c r="O276" s="355"/>
      <c r="R276" s="355"/>
      <c r="S276" s="355"/>
      <c r="T276" s="355"/>
      <c r="U276" s="355"/>
      <c r="V276" s="355"/>
      <c r="W276" s="355"/>
      <c r="X276" s="355"/>
      <c r="Y276" s="355"/>
      <c r="Z276" s="355"/>
      <c r="AA276" s="355"/>
      <c r="AB276" s="355"/>
      <c r="AC276" s="355"/>
      <c r="AD276" s="355"/>
      <c r="AE276" s="355"/>
      <c r="AF276" s="355"/>
      <c r="AG276" s="355"/>
      <c r="AH276" s="355"/>
    </row>
    <row r="277" spans="1:34" x14ac:dyDescent="0.2">
      <c r="A277" s="355"/>
      <c r="B277" s="355"/>
      <c r="C277" s="355"/>
      <c r="D277" s="355"/>
      <c r="E277" s="355"/>
      <c r="F277" s="355"/>
      <c r="G277" s="355"/>
      <c r="H277" s="355"/>
      <c r="I277" s="355"/>
      <c r="J277" s="355"/>
      <c r="K277" s="598"/>
      <c r="L277" s="355"/>
      <c r="M277" s="355"/>
      <c r="N277" s="355"/>
      <c r="O277" s="355"/>
      <c r="R277" s="355"/>
      <c r="S277" s="355"/>
      <c r="T277" s="355"/>
      <c r="U277" s="355"/>
      <c r="V277" s="355"/>
      <c r="W277" s="355"/>
      <c r="X277" s="355"/>
      <c r="Y277" s="355"/>
      <c r="Z277" s="355"/>
      <c r="AA277" s="355"/>
      <c r="AB277" s="355"/>
      <c r="AC277" s="355"/>
      <c r="AD277" s="355"/>
      <c r="AE277" s="355"/>
      <c r="AF277" s="355"/>
      <c r="AG277" s="355"/>
      <c r="AH277" s="355"/>
    </row>
    <row r="278" spans="1:34" x14ac:dyDescent="0.2">
      <c r="A278" s="355"/>
      <c r="B278" s="355"/>
      <c r="C278" s="355"/>
      <c r="D278" s="355"/>
      <c r="E278" s="355"/>
      <c r="F278" s="355"/>
      <c r="G278" s="355"/>
      <c r="H278" s="355"/>
      <c r="I278" s="355"/>
      <c r="J278" s="355"/>
      <c r="K278" s="598"/>
      <c r="L278" s="355"/>
      <c r="M278" s="355"/>
      <c r="N278" s="355"/>
      <c r="O278" s="355"/>
      <c r="R278" s="355"/>
      <c r="S278" s="355"/>
      <c r="T278" s="355"/>
      <c r="U278" s="355"/>
      <c r="V278" s="355"/>
      <c r="W278" s="355"/>
      <c r="X278" s="355"/>
      <c r="Y278" s="355"/>
      <c r="Z278" s="355"/>
      <c r="AA278" s="355"/>
      <c r="AB278" s="355"/>
      <c r="AC278" s="355"/>
      <c r="AD278" s="355"/>
      <c r="AE278" s="355"/>
      <c r="AF278" s="355"/>
      <c r="AG278" s="355"/>
      <c r="AH278" s="355"/>
    </row>
    <row r="279" spans="1:34" x14ac:dyDescent="0.2">
      <c r="A279" s="355"/>
      <c r="B279" s="355"/>
      <c r="C279" s="355"/>
      <c r="D279" s="355"/>
      <c r="E279" s="355"/>
      <c r="F279" s="355"/>
      <c r="G279" s="355"/>
      <c r="H279" s="355"/>
      <c r="I279" s="355"/>
      <c r="J279" s="355"/>
      <c r="K279" s="598"/>
      <c r="L279" s="355"/>
      <c r="M279" s="355"/>
      <c r="N279" s="355"/>
      <c r="O279" s="355"/>
      <c r="R279" s="355"/>
      <c r="S279" s="355"/>
      <c r="T279" s="355"/>
      <c r="U279" s="355"/>
      <c r="V279" s="355"/>
      <c r="W279" s="355"/>
      <c r="X279" s="355"/>
      <c r="Y279" s="355"/>
      <c r="Z279" s="355"/>
      <c r="AA279" s="355"/>
      <c r="AB279" s="355"/>
      <c r="AC279" s="355"/>
      <c r="AD279" s="355"/>
      <c r="AE279" s="355"/>
      <c r="AF279" s="355"/>
      <c r="AG279" s="355"/>
      <c r="AH279" s="355"/>
    </row>
    <row r="280" spans="1:34" x14ac:dyDescent="0.2">
      <c r="A280" s="355"/>
      <c r="B280" s="355"/>
      <c r="C280" s="355"/>
      <c r="D280" s="355"/>
      <c r="E280" s="355"/>
      <c r="F280" s="355"/>
      <c r="G280" s="355"/>
      <c r="H280" s="355"/>
      <c r="I280" s="355"/>
      <c r="J280" s="355"/>
      <c r="K280" s="598"/>
      <c r="L280" s="355"/>
      <c r="M280" s="355"/>
      <c r="N280" s="355"/>
      <c r="O280" s="355"/>
      <c r="R280" s="355"/>
      <c r="S280" s="355"/>
      <c r="T280" s="355"/>
      <c r="U280" s="355"/>
      <c r="V280" s="355"/>
      <c r="W280" s="355"/>
      <c r="X280" s="355"/>
      <c r="Y280" s="355"/>
      <c r="Z280" s="355"/>
      <c r="AA280" s="355"/>
      <c r="AB280" s="355"/>
      <c r="AC280" s="355"/>
      <c r="AD280" s="355"/>
      <c r="AE280" s="355"/>
      <c r="AF280" s="355"/>
      <c r="AG280" s="355"/>
      <c r="AH280" s="355"/>
    </row>
    <row r="281" spans="1:34" x14ac:dyDescent="0.2">
      <c r="A281" s="355"/>
      <c r="B281" s="355"/>
      <c r="C281" s="355"/>
      <c r="D281" s="355"/>
      <c r="E281" s="355"/>
      <c r="F281" s="355"/>
      <c r="G281" s="355"/>
      <c r="H281" s="355"/>
      <c r="I281" s="355"/>
      <c r="J281" s="355"/>
      <c r="K281" s="598"/>
      <c r="L281" s="355"/>
      <c r="M281" s="355"/>
      <c r="N281" s="355"/>
      <c r="O281" s="355"/>
      <c r="R281" s="355"/>
      <c r="S281" s="355"/>
      <c r="T281" s="355"/>
      <c r="U281" s="355"/>
      <c r="V281" s="355"/>
      <c r="W281" s="355"/>
      <c r="X281" s="355"/>
      <c r="Y281" s="355"/>
      <c r="Z281" s="355"/>
      <c r="AA281" s="355"/>
      <c r="AB281" s="355"/>
      <c r="AC281" s="355"/>
      <c r="AD281" s="355"/>
      <c r="AE281" s="355"/>
      <c r="AF281" s="355"/>
      <c r="AG281" s="355"/>
      <c r="AH281" s="355"/>
    </row>
    <row r="282" spans="1:34" x14ac:dyDescent="0.2">
      <c r="A282" s="355"/>
      <c r="B282" s="355"/>
      <c r="C282" s="355"/>
      <c r="D282" s="355"/>
      <c r="E282" s="355"/>
      <c r="F282" s="355"/>
      <c r="G282" s="355"/>
      <c r="H282" s="355"/>
      <c r="I282" s="355"/>
      <c r="J282" s="355"/>
      <c r="K282" s="598"/>
      <c r="L282" s="355"/>
      <c r="M282" s="355"/>
      <c r="N282" s="355"/>
      <c r="O282" s="355"/>
      <c r="R282" s="355"/>
      <c r="S282" s="355"/>
      <c r="T282" s="355"/>
      <c r="U282" s="355"/>
      <c r="V282" s="355"/>
      <c r="W282" s="355"/>
      <c r="X282" s="355"/>
      <c r="Y282" s="355"/>
      <c r="Z282" s="355"/>
      <c r="AA282" s="355"/>
      <c r="AB282" s="355"/>
      <c r="AC282" s="355"/>
      <c r="AD282" s="355"/>
      <c r="AE282" s="355"/>
      <c r="AF282" s="355"/>
      <c r="AG282" s="355"/>
      <c r="AH282" s="355"/>
    </row>
    <row r="283" spans="1:34" x14ac:dyDescent="0.2">
      <c r="A283" s="355"/>
      <c r="B283" s="355"/>
      <c r="C283" s="355"/>
      <c r="D283" s="355"/>
      <c r="E283" s="355"/>
      <c r="F283" s="355"/>
      <c r="G283" s="355"/>
      <c r="H283" s="355"/>
      <c r="I283" s="355"/>
      <c r="J283" s="355"/>
      <c r="K283" s="598"/>
      <c r="L283" s="355"/>
      <c r="M283" s="355"/>
      <c r="N283" s="355"/>
      <c r="O283" s="355"/>
      <c r="R283" s="355"/>
      <c r="S283" s="355"/>
      <c r="T283" s="355"/>
      <c r="U283" s="355"/>
      <c r="V283" s="355"/>
      <c r="W283" s="355"/>
      <c r="X283" s="355"/>
      <c r="Y283" s="355"/>
      <c r="Z283" s="355"/>
      <c r="AA283" s="355"/>
      <c r="AB283" s="355"/>
      <c r="AC283" s="355"/>
      <c r="AD283" s="355"/>
      <c r="AE283" s="355"/>
      <c r="AF283" s="355"/>
      <c r="AG283" s="355"/>
      <c r="AH283" s="355"/>
    </row>
    <row r="284" spans="1:34" x14ac:dyDescent="0.2">
      <c r="A284" s="355"/>
      <c r="B284" s="355"/>
      <c r="C284" s="355"/>
      <c r="D284" s="355"/>
      <c r="E284" s="355"/>
      <c r="F284" s="355"/>
      <c r="G284" s="355"/>
      <c r="H284" s="355"/>
      <c r="I284" s="355"/>
      <c r="J284" s="355"/>
      <c r="K284" s="598"/>
      <c r="L284" s="355"/>
      <c r="M284" s="355"/>
      <c r="N284" s="355"/>
      <c r="O284" s="355"/>
      <c r="R284" s="355"/>
      <c r="S284" s="355"/>
      <c r="T284" s="355"/>
      <c r="U284" s="355"/>
      <c r="V284" s="355"/>
      <c r="W284" s="355"/>
      <c r="X284" s="355"/>
      <c r="Y284" s="355"/>
      <c r="Z284" s="355"/>
      <c r="AA284" s="355"/>
      <c r="AB284" s="355"/>
      <c r="AC284" s="355"/>
      <c r="AD284" s="355"/>
      <c r="AE284" s="355"/>
      <c r="AF284" s="355"/>
      <c r="AG284" s="355"/>
      <c r="AH284" s="355"/>
    </row>
    <row r="285" spans="1:34" x14ac:dyDescent="0.2">
      <c r="A285" s="355"/>
      <c r="B285" s="355"/>
      <c r="C285" s="355"/>
      <c r="D285" s="355"/>
      <c r="E285" s="355"/>
      <c r="F285" s="355"/>
      <c r="G285" s="355"/>
      <c r="H285" s="355"/>
      <c r="I285" s="355"/>
      <c r="J285" s="355"/>
      <c r="K285" s="598"/>
      <c r="L285" s="355"/>
      <c r="M285" s="355"/>
      <c r="N285" s="355"/>
      <c r="O285" s="355"/>
      <c r="R285" s="355"/>
      <c r="S285" s="355"/>
      <c r="T285" s="355"/>
      <c r="U285" s="355"/>
      <c r="V285" s="355"/>
      <c r="W285" s="355"/>
      <c r="X285" s="355"/>
      <c r="Y285" s="355"/>
      <c r="Z285" s="355"/>
      <c r="AA285" s="355"/>
      <c r="AB285" s="355"/>
      <c r="AC285" s="355"/>
      <c r="AD285" s="355"/>
      <c r="AE285" s="355"/>
      <c r="AF285" s="355"/>
      <c r="AG285" s="355"/>
      <c r="AH285" s="355"/>
    </row>
    <row r="286" spans="1:34" x14ac:dyDescent="0.2">
      <c r="A286" s="355"/>
      <c r="B286" s="355"/>
      <c r="C286" s="355"/>
      <c r="D286" s="355"/>
      <c r="E286" s="355"/>
      <c r="F286" s="355"/>
      <c r="G286" s="355"/>
      <c r="H286" s="355"/>
      <c r="I286" s="355"/>
      <c r="J286" s="355"/>
      <c r="K286" s="598"/>
      <c r="L286" s="355"/>
      <c r="M286" s="355"/>
      <c r="N286" s="355"/>
      <c r="O286" s="355"/>
      <c r="R286" s="355"/>
      <c r="S286" s="355"/>
      <c r="T286" s="355"/>
      <c r="U286" s="355"/>
      <c r="V286" s="355"/>
      <c r="W286" s="355"/>
      <c r="X286" s="355"/>
      <c r="Y286" s="355"/>
      <c r="Z286" s="355"/>
      <c r="AA286" s="355"/>
      <c r="AB286" s="355"/>
      <c r="AC286" s="355"/>
      <c r="AD286" s="355"/>
      <c r="AE286" s="355"/>
      <c r="AF286" s="355"/>
      <c r="AG286" s="355"/>
      <c r="AH286" s="355"/>
    </row>
    <row r="287" spans="1:34" x14ac:dyDescent="0.2">
      <c r="A287" s="355"/>
      <c r="B287" s="355"/>
      <c r="C287" s="355"/>
      <c r="D287" s="355"/>
      <c r="E287" s="355"/>
      <c r="F287" s="355"/>
      <c r="G287" s="355"/>
      <c r="H287" s="355"/>
      <c r="I287" s="355"/>
      <c r="J287" s="355"/>
      <c r="K287" s="598"/>
      <c r="L287" s="355"/>
      <c r="M287" s="355"/>
      <c r="N287" s="355"/>
      <c r="O287" s="355"/>
      <c r="R287" s="355"/>
      <c r="S287" s="355"/>
      <c r="T287" s="355"/>
      <c r="U287" s="355"/>
      <c r="V287" s="355"/>
      <c r="W287" s="355"/>
      <c r="X287" s="355"/>
      <c r="Y287" s="355"/>
      <c r="Z287" s="355"/>
      <c r="AA287" s="355"/>
      <c r="AB287" s="355"/>
      <c r="AC287" s="355"/>
      <c r="AD287" s="355"/>
      <c r="AE287" s="355"/>
      <c r="AF287" s="355"/>
      <c r="AG287" s="355"/>
      <c r="AH287" s="355"/>
    </row>
    <row r="288" spans="1:34" x14ac:dyDescent="0.2">
      <c r="A288" s="355"/>
      <c r="B288" s="355"/>
      <c r="C288" s="355"/>
      <c r="D288" s="355"/>
      <c r="E288" s="355"/>
      <c r="F288" s="355"/>
      <c r="G288" s="355"/>
      <c r="H288" s="355"/>
      <c r="I288" s="355"/>
      <c r="J288" s="355"/>
      <c r="K288" s="598"/>
      <c r="L288" s="355"/>
      <c r="M288" s="355"/>
      <c r="N288" s="355"/>
      <c r="O288" s="355"/>
      <c r="R288" s="355"/>
      <c r="S288" s="355"/>
      <c r="T288" s="355"/>
      <c r="U288" s="355"/>
      <c r="V288" s="355"/>
      <c r="W288" s="355"/>
      <c r="X288" s="355"/>
      <c r="Y288" s="355"/>
      <c r="Z288" s="355"/>
      <c r="AA288" s="355"/>
      <c r="AB288" s="355"/>
      <c r="AC288" s="355"/>
      <c r="AD288" s="355"/>
      <c r="AE288" s="355"/>
      <c r="AF288" s="355"/>
      <c r="AG288" s="355"/>
      <c r="AH288" s="355"/>
    </row>
    <row r="289" spans="1:34" x14ac:dyDescent="0.2">
      <c r="A289" s="355"/>
      <c r="B289" s="355"/>
      <c r="C289" s="355"/>
      <c r="D289" s="355"/>
      <c r="E289" s="355"/>
      <c r="F289" s="355"/>
      <c r="G289" s="355"/>
      <c r="H289" s="355"/>
      <c r="I289" s="355"/>
      <c r="J289" s="355"/>
      <c r="K289" s="598"/>
      <c r="L289" s="355"/>
      <c r="M289" s="355"/>
      <c r="N289" s="355"/>
      <c r="O289" s="355"/>
      <c r="R289" s="355"/>
      <c r="S289" s="355"/>
      <c r="T289" s="355"/>
      <c r="U289" s="355"/>
      <c r="V289" s="355"/>
      <c r="W289" s="355"/>
      <c r="X289" s="355"/>
      <c r="Y289" s="355"/>
      <c r="Z289" s="355"/>
      <c r="AA289" s="355"/>
      <c r="AB289" s="355"/>
      <c r="AC289" s="355"/>
      <c r="AD289" s="355"/>
      <c r="AE289" s="355"/>
      <c r="AF289" s="355"/>
      <c r="AG289" s="355"/>
      <c r="AH289" s="355"/>
    </row>
    <row r="290" spans="1:34" x14ac:dyDescent="0.2">
      <c r="A290" s="355"/>
      <c r="B290" s="355"/>
      <c r="C290" s="355"/>
      <c r="D290" s="355"/>
      <c r="E290" s="355"/>
      <c r="F290" s="355"/>
      <c r="G290" s="355"/>
      <c r="H290" s="355"/>
      <c r="I290" s="355"/>
      <c r="J290" s="355"/>
      <c r="K290" s="598"/>
      <c r="L290" s="355"/>
      <c r="M290" s="355"/>
      <c r="N290" s="355"/>
      <c r="O290" s="355"/>
      <c r="R290" s="355"/>
      <c r="S290" s="355"/>
      <c r="T290" s="355"/>
      <c r="U290" s="355"/>
      <c r="V290" s="355"/>
      <c r="W290" s="355"/>
      <c r="X290" s="355"/>
      <c r="Y290" s="355"/>
      <c r="Z290" s="355"/>
      <c r="AA290" s="355"/>
      <c r="AB290" s="355"/>
      <c r="AC290" s="355"/>
      <c r="AD290" s="355"/>
      <c r="AE290" s="355"/>
      <c r="AF290" s="355"/>
      <c r="AG290" s="355"/>
      <c r="AH290" s="355"/>
    </row>
    <row r="291" spans="1:34" x14ac:dyDescent="0.2">
      <c r="A291" s="355"/>
      <c r="B291" s="355"/>
      <c r="C291" s="355"/>
      <c r="D291" s="355"/>
      <c r="E291" s="355"/>
      <c r="F291" s="355"/>
      <c r="G291" s="355"/>
      <c r="H291" s="355"/>
      <c r="I291" s="355"/>
      <c r="J291" s="355"/>
      <c r="K291" s="598"/>
      <c r="L291" s="355"/>
      <c r="M291" s="355"/>
      <c r="N291" s="355"/>
      <c r="O291" s="355"/>
      <c r="R291" s="355"/>
      <c r="S291" s="355"/>
      <c r="T291" s="355"/>
      <c r="U291" s="355"/>
      <c r="V291" s="355"/>
      <c r="W291" s="355"/>
      <c r="X291" s="355"/>
      <c r="Y291" s="355"/>
      <c r="Z291" s="355"/>
      <c r="AA291" s="355"/>
      <c r="AB291" s="355"/>
      <c r="AC291" s="355"/>
      <c r="AD291" s="355"/>
      <c r="AE291" s="355"/>
      <c r="AF291" s="355"/>
      <c r="AG291" s="355"/>
      <c r="AH291" s="355"/>
    </row>
    <row r="292" spans="1:34" x14ac:dyDescent="0.2">
      <c r="A292" s="355"/>
      <c r="B292" s="355"/>
      <c r="C292" s="355"/>
      <c r="D292" s="355"/>
      <c r="E292" s="355"/>
      <c r="F292" s="355"/>
      <c r="G292" s="355"/>
      <c r="H292" s="355"/>
      <c r="I292" s="355"/>
      <c r="J292" s="355"/>
      <c r="K292" s="598"/>
      <c r="L292" s="355"/>
      <c r="M292" s="355"/>
      <c r="N292" s="355"/>
      <c r="O292" s="355"/>
      <c r="R292" s="355"/>
      <c r="S292" s="355"/>
      <c r="T292" s="355"/>
      <c r="U292" s="355"/>
      <c r="V292" s="355"/>
      <c r="W292" s="355"/>
      <c r="X292" s="355"/>
      <c r="Y292" s="355"/>
      <c r="Z292" s="355"/>
      <c r="AA292" s="355"/>
      <c r="AB292" s="355"/>
      <c r="AC292" s="355"/>
      <c r="AD292" s="355"/>
      <c r="AE292" s="355"/>
      <c r="AF292" s="355"/>
      <c r="AG292" s="355"/>
      <c r="AH292" s="355"/>
    </row>
    <row r="293" spans="1:34" x14ac:dyDescent="0.2">
      <c r="A293" s="355"/>
      <c r="B293" s="355"/>
      <c r="C293" s="355"/>
      <c r="D293" s="355"/>
      <c r="E293" s="355"/>
      <c r="F293" s="355"/>
      <c r="G293" s="355"/>
      <c r="H293" s="355"/>
      <c r="I293" s="355"/>
      <c r="J293" s="355"/>
      <c r="K293" s="598"/>
      <c r="L293" s="355"/>
      <c r="M293" s="355"/>
      <c r="N293" s="355"/>
      <c r="O293" s="355"/>
      <c r="R293" s="355"/>
      <c r="S293" s="355"/>
      <c r="T293" s="355"/>
      <c r="U293" s="355"/>
      <c r="V293" s="355"/>
      <c r="W293" s="355"/>
      <c r="X293" s="355"/>
      <c r="Y293" s="355"/>
      <c r="Z293" s="355"/>
      <c r="AA293" s="355"/>
      <c r="AB293" s="355"/>
      <c r="AC293" s="355"/>
      <c r="AD293" s="355"/>
      <c r="AE293" s="355"/>
      <c r="AF293" s="355"/>
      <c r="AG293" s="355"/>
      <c r="AH293" s="355"/>
    </row>
    <row r="294" spans="1:34" x14ac:dyDescent="0.2">
      <c r="A294" s="355"/>
      <c r="B294" s="355"/>
      <c r="C294" s="355"/>
      <c r="D294" s="355"/>
      <c r="E294" s="355"/>
      <c r="F294" s="355"/>
      <c r="G294" s="355"/>
      <c r="H294" s="355"/>
      <c r="I294" s="355"/>
      <c r="J294" s="355"/>
      <c r="K294" s="598"/>
      <c r="L294" s="355"/>
      <c r="M294" s="355"/>
      <c r="N294" s="355"/>
      <c r="O294" s="355"/>
      <c r="R294" s="355"/>
      <c r="S294" s="355"/>
      <c r="T294" s="355"/>
      <c r="U294" s="355"/>
      <c r="V294" s="355"/>
      <c r="W294" s="355"/>
      <c r="X294" s="355"/>
      <c r="Y294" s="355"/>
      <c r="Z294" s="355"/>
      <c r="AA294" s="355"/>
      <c r="AB294" s="355"/>
      <c r="AC294" s="355"/>
      <c r="AD294" s="355"/>
      <c r="AE294" s="355"/>
      <c r="AF294" s="355"/>
      <c r="AG294" s="355"/>
      <c r="AH294" s="355"/>
    </row>
    <row r="295" spans="1:34" x14ac:dyDescent="0.2">
      <c r="A295" s="355"/>
      <c r="B295" s="355"/>
      <c r="C295" s="355"/>
      <c r="D295" s="355"/>
      <c r="E295" s="355"/>
      <c r="F295" s="355"/>
      <c r="G295" s="355"/>
      <c r="H295" s="355"/>
      <c r="I295" s="355"/>
      <c r="J295" s="355"/>
      <c r="K295" s="598"/>
      <c r="L295" s="355"/>
      <c r="M295" s="355"/>
      <c r="N295" s="355"/>
      <c r="O295" s="355"/>
      <c r="R295" s="355"/>
      <c r="S295" s="355"/>
      <c r="T295" s="355"/>
      <c r="U295" s="355"/>
      <c r="V295" s="355"/>
      <c r="W295" s="355"/>
      <c r="X295" s="355"/>
      <c r="Y295" s="355"/>
      <c r="Z295" s="355"/>
      <c r="AA295" s="355"/>
      <c r="AB295" s="355"/>
      <c r="AC295" s="355"/>
      <c r="AD295" s="355"/>
      <c r="AE295" s="355"/>
      <c r="AF295" s="355"/>
      <c r="AG295" s="355"/>
      <c r="AH295" s="355"/>
    </row>
    <row r="296" spans="1:34" x14ac:dyDescent="0.2">
      <c r="A296" s="355"/>
      <c r="B296" s="355"/>
      <c r="C296" s="355"/>
      <c r="D296" s="355"/>
      <c r="E296" s="355"/>
      <c r="F296" s="355"/>
      <c r="G296" s="355"/>
      <c r="H296" s="355"/>
      <c r="I296" s="355"/>
      <c r="J296" s="355"/>
      <c r="K296" s="598"/>
      <c r="L296" s="355"/>
      <c r="M296" s="355"/>
      <c r="N296" s="355"/>
      <c r="O296" s="355"/>
      <c r="R296" s="355"/>
      <c r="S296" s="355"/>
      <c r="T296" s="355"/>
      <c r="U296" s="355"/>
      <c r="V296" s="355"/>
      <c r="W296" s="355"/>
      <c r="X296" s="355"/>
      <c r="Y296" s="355"/>
      <c r="Z296" s="355"/>
      <c r="AA296" s="355"/>
      <c r="AB296" s="355"/>
      <c r="AC296" s="355"/>
      <c r="AD296" s="355"/>
      <c r="AE296" s="355"/>
      <c r="AF296" s="355"/>
      <c r="AG296" s="355"/>
      <c r="AH296" s="355"/>
    </row>
    <row r="297" spans="1:34" x14ac:dyDescent="0.2">
      <c r="A297" s="355"/>
      <c r="B297" s="355"/>
      <c r="C297" s="355"/>
      <c r="D297" s="355"/>
      <c r="E297" s="355"/>
      <c r="F297" s="355"/>
      <c r="G297" s="355"/>
      <c r="H297" s="355"/>
      <c r="I297" s="355"/>
      <c r="J297" s="355"/>
      <c r="K297" s="598"/>
      <c r="L297" s="355"/>
      <c r="M297" s="355"/>
      <c r="N297" s="355"/>
      <c r="O297" s="355"/>
      <c r="R297" s="355"/>
      <c r="S297" s="355"/>
      <c r="T297" s="355"/>
      <c r="U297" s="355"/>
      <c r="V297" s="355"/>
      <c r="W297" s="355"/>
      <c r="X297" s="355"/>
      <c r="Y297" s="355"/>
      <c r="Z297" s="355"/>
      <c r="AA297" s="355"/>
      <c r="AB297" s="355"/>
      <c r="AC297" s="355"/>
      <c r="AD297" s="355"/>
      <c r="AE297" s="355"/>
      <c r="AF297" s="355"/>
      <c r="AG297" s="355"/>
      <c r="AH297" s="355"/>
    </row>
    <row r="298" spans="1:34" x14ac:dyDescent="0.2">
      <c r="A298" s="355"/>
      <c r="B298" s="355"/>
      <c r="C298" s="355"/>
      <c r="D298" s="355"/>
      <c r="E298" s="355"/>
      <c r="F298" s="355"/>
      <c r="G298" s="355"/>
      <c r="H298" s="355"/>
      <c r="I298" s="355"/>
      <c r="J298" s="355"/>
      <c r="K298" s="598"/>
      <c r="L298" s="355"/>
      <c r="M298" s="355"/>
      <c r="N298" s="355"/>
      <c r="O298" s="355"/>
      <c r="R298" s="355"/>
      <c r="S298" s="355"/>
      <c r="T298" s="355"/>
      <c r="U298" s="355"/>
      <c r="V298" s="355"/>
      <c r="W298" s="355"/>
      <c r="X298" s="355"/>
      <c r="Y298" s="355"/>
      <c r="Z298" s="355"/>
      <c r="AA298" s="355"/>
      <c r="AB298" s="355"/>
      <c r="AC298" s="355"/>
      <c r="AD298" s="355"/>
      <c r="AE298" s="355"/>
      <c r="AF298" s="355"/>
      <c r="AG298" s="355"/>
      <c r="AH298" s="355"/>
    </row>
    <row r="299" spans="1:34" x14ac:dyDescent="0.2">
      <c r="A299" s="355"/>
      <c r="B299" s="355"/>
      <c r="C299" s="355"/>
      <c r="D299" s="355"/>
      <c r="E299" s="355"/>
      <c r="F299" s="355"/>
      <c r="G299" s="355"/>
      <c r="H299" s="355"/>
      <c r="I299" s="355"/>
      <c r="J299" s="355"/>
      <c r="K299" s="598"/>
      <c r="L299" s="355"/>
      <c r="M299" s="355"/>
      <c r="N299" s="355"/>
      <c r="O299" s="355"/>
      <c r="R299" s="355"/>
      <c r="S299" s="355"/>
      <c r="T299" s="355"/>
      <c r="U299" s="355"/>
      <c r="V299" s="355"/>
      <c r="W299" s="355"/>
      <c r="X299" s="355"/>
      <c r="Y299" s="355"/>
      <c r="Z299" s="355"/>
      <c r="AA299" s="355"/>
      <c r="AB299" s="355"/>
      <c r="AC299" s="355"/>
      <c r="AD299" s="355"/>
      <c r="AE299" s="355"/>
      <c r="AF299" s="355"/>
      <c r="AG299" s="355"/>
      <c r="AH299" s="355"/>
    </row>
    <row r="300" spans="1:34" x14ac:dyDescent="0.2">
      <c r="A300" s="355"/>
      <c r="B300" s="355"/>
      <c r="C300" s="355"/>
      <c r="D300" s="355"/>
      <c r="E300" s="355"/>
      <c r="F300" s="355"/>
      <c r="G300" s="355"/>
      <c r="H300" s="355"/>
      <c r="I300" s="355"/>
      <c r="J300" s="355"/>
      <c r="K300" s="598"/>
      <c r="L300" s="355"/>
      <c r="M300" s="355"/>
      <c r="N300" s="355"/>
      <c r="O300" s="355"/>
      <c r="R300" s="355"/>
      <c r="S300" s="355"/>
      <c r="T300" s="355"/>
      <c r="U300" s="355"/>
      <c r="V300" s="355"/>
      <c r="W300" s="355"/>
      <c r="X300" s="355"/>
      <c r="Y300" s="355"/>
      <c r="Z300" s="355"/>
      <c r="AA300" s="355"/>
      <c r="AB300" s="355"/>
      <c r="AC300" s="355"/>
      <c r="AD300" s="355"/>
      <c r="AE300" s="355"/>
      <c r="AF300" s="355"/>
      <c r="AG300" s="355"/>
      <c r="AH300" s="355"/>
    </row>
    <row r="301" spans="1:34" x14ac:dyDescent="0.2">
      <c r="A301" s="355"/>
      <c r="B301" s="355"/>
      <c r="C301" s="355"/>
      <c r="D301" s="355"/>
      <c r="E301" s="355"/>
      <c r="F301" s="355"/>
      <c r="G301" s="355"/>
      <c r="H301" s="355"/>
      <c r="I301" s="355"/>
      <c r="J301" s="355"/>
      <c r="K301" s="598"/>
      <c r="L301" s="355"/>
      <c r="M301" s="355"/>
      <c r="N301" s="355"/>
      <c r="O301" s="355"/>
      <c r="R301" s="355"/>
      <c r="S301" s="355"/>
      <c r="T301" s="355"/>
      <c r="U301" s="355"/>
      <c r="V301" s="355"/>
      <c r="W301" s="355"/>
      <c r="X301" s="355"/>
      <c r="Y301" s="355"/>
      <c r="Z301" s="355"/>
      <c r="AA301" s="355"/>
      <c r="AB301" s="355"/>
      <c r="AC301" s="355"/>
      <c r="AD301" s="355"/>
      <c r="AE301" s="355"/>
      <c r="AF301" s="355"/>
      <c r="AG301" s="355"/>
      <c r="AH301" s="355"/>
    </row>
    <row r="302" spans="1:34" x14ac:dyDescent="0.2">
      <c r="A302" s="355"/>
      <c r="B302" s="355"/>
      <c r="C302" s="355"/>
      <c r="D302" s="355"/>
      <c r="E302" s="355"/>
      <c r="F302" s="355"/>
      <c r="G302" s="355"/>
      <c r="H302" s="355"/>
      <c r="I302" s="355"/>
      <c r="J302" s="355"/>
      <c r="K302" s="598"/>
      <c r="L302" s="355"/>
      <c r="M302" s="355"/>
      <c r="N302" s="355"/>
      <c r="O302" s="355"/>
      <c r="R302" s="355"/>
      <c r="S302" s="355"/>
      <c r="T302" s="355"/>
      <c r="U302" s="355"/>
      <c r="V302" s="355"/>
      <c r="W302" s="355"/>
      <c r="X302" s="355"/>
      <c r="Y302" s="355"/>
      <c r="Z302" s="355"/>
      <c r="AA302" s="355"/>
      <c r="AB302" s="355"/>
      <c r="AC302" s="355"/>
      <c r="AD302" s="355"/>
      <c r="AE302" s="355"/>
      <c r="AF302" s="355"/>
      <c r="AG302" s="355"/>
      <c r="AH302" s="355"/>
    </row>
    <row r="303" spans="1:34" x14ac:dyDescent="0.2">
      <c r="A303" s="355"/>
      <c r="B303" s="355"/>
      <c r="C303" s="355"/>
      <c r="D303" s="355"/>
      <c r="E303" s="355"/>
      <c r="F303" s="355"/>
      <c r="G303" s="355"/>
      <c r="H303" s="355"/>
      <c r="I303" s="355"/>
      <c r="J303" s="355"/>
      <c r="K303" s="598"/>
      <c r="L303" s="355"/>
      <c r="M303" s="355"/>
      <c r="N303" s="355"/>
      <c r="O303" s="355"/>
      <c r="R303" s="355"/>
      <c r="S303" s="355"/>
      <c r="T303" s="355"/>
      <c r="U303" s="355"/>
      <c r="V303" s="355"/>
      <c r="W303" s="355"/>
      <c r="X303" s="355"/>
      <c r="Y303" s="355"/>
      <c r="Z303" s="355"/>
      <c r="AA303" s="355"/>
      <c r="AB303" s="355"/>
      <c r="AC303" s="355"/>
      <c r="AD303" s="355"/>
      <c r="AE303" s="355"/>
      <c r="AF303" s="355"/>
      <c r="AG303" s="355"/>
      <c r="AH303" s="355"/>
    </row>
    <row r="304" spans="1:34" x14ac:dyDescent="0.2">
      <c r="A304" s="355"/>
      <c r="B304" s="355"/>
      <c r="C304" s="355"/>
      <c r="D304" s="355"/>
      <c r="E304" s="355"/>
      <c r="F304" s="355"/>
      <c r="G304" s="355"/>
      <c r="H304" s="355"/>
      <c r="I304" s="355"/>
      <c r="J304" s="355"/>
      <c r="K304" s="598"/>
      <c r="L304" s="355"/>
      <c r="M304" s="355"/>
      <c r="N304" s="355"/>
      <c r="O304" s="355"/>
      <c r="R304" s="355"/>
      <c r="S304" s="355"/>
      <c r="T304" s="355"/>
      <c r="U304" s="355"/>
      <c r="V304" s="355"/>
      <c r="W304" s="355"/>
      <c r="X304" s="355"/>
      <c r="Y304" s="355"/>
      <c r="Z304" s="355"/>
      <c r="AA304" s="355"/>
      <c r="AB304" s="355"/>
      <c r="AC304" s="355"/>
      <c r="AD304" s="355"/>
      <c r="AE304" s="355"/>
      <c r="AF304" s="355"/>
      <c r="AG304" s="355"/>
      <c r="AH304" s="355"/>
    </row>
    <row r="305" spans="1:34" x14ac:dyDescent="0.2">
      <c r="A305" s="355"/>
      <c r="B305" s="355"/>
      <c r="C305" s="355"/>
      <c r="D305" s="355"/>
      <c r="E305" s="355"/>
      <c r="F305" s="355"/>
      <c r="G305" s="355"/>
      <c r="H305" s="355"/>
      <c r="I305" s="355"/>
      <c r="J305" s="355"/>
      <c r="K305" s="598"/>
      <c r="L305" s="355"/>
      <c r="M305" s="355"/>
      <c r="N305" s="355"/>
      <c r="O305" s="355"/>
      <c r="R305" s="355"/>
      <c r="S305" s="355"/>
      <c r="T305" s="355"/>
      <c r="U305" s="355"/>
      <c r="V305" s="355"/>
      <c r="W305" s="355"/>
      <c r="X305" s="355"/>
      <c r="Y305" s="355"/>
      <c r="Z305" s="355"/>
      <c r="AA305" s="355"/>
      <c r="AB305" s="355"/>
      <c r="AC305" s="355"/>
      <c r="AD305" s="355"/>
      <c r="AE305" s="355"/>
      <c r="AF305" s="355"/>
      <c r="AG305" s="355"/>
      <c r="AH305" s="355"/>
    </row>
    <row r="306" spans="1:34" x14ac:dyDescent="0.2">
      <c r="A306" s="355"/>
      <c r="B306" s="355"/>
      <c r="C306" s="355"/>
      <c r="D306" s="355"/>
      <c r="E306" s="355"/>
      <c r="F306" s="355"/>
      <c r="G306" s="355"/>
      <c r="H306" s="355"/>
      <c r="I306" s="355"/>
      <c r="J306" s="355"/>
      <c r="K306" s="598"/>
      <c r="L306" s="355"/>
      <c r="M306" s="355"/>
      <c r="N306" s="355"/>
      <c r="O306" s="355"/>
      <c r="R306" s="355"/>
      <c r="S306" s="355"/>
      <c r="T306" s="355"/>
      <c r="U306" s="355"/>
      <c r="V306" s="355"/>
      <c r="W306" s="355"/>
      <c r="X306" s="355"/>
      <c r="Y306" s="355"/>
      <c r="Z306" s="355"/>
      <c r="AA306" s="355"/>
      <c r="AB306" s="355"/>
      <c r="AC306" s="355"/>
      <c r="AD306" s="355"/>
      <c r="AE306" s="355"/>
      <c r="AF306" s="355"/>
      <c r="AG306" s="355"/>
      <c r="AH306" s="355"/>
    </row>
    <row r="307" spans="1:34" x14ac:dyDescent="0.2">
      <c r="A307" s="355"/>
      <c r="B307" s="355"/>
      <c r="C307" s="355"/>
      <c r="D307" s="355"/>
      <c r="E307" s="355"/>
      <c r="F307" s="355"/>
      <c r="G307" s="355"/>
      <c r="H307" s="355"/>
      <c r="I307" s="355"/>
      <c r="J307" s="355"/>
      <c r="K307" s="598"/>
      <c r="L307" s="355"/>
      <c r="M307" s="355"/>
      <c r="N307" s="355"/>
      <c r="O307" s="355"/>
      <c r="R307" s="355"/>
      <c r="S307" s="355"/>
      <c r="T307" s="355"/>
      <c r="U307" s="355"/>
      <c r="V307" s="355"/>
      <c r="W307" s="355"/>
      <c r="X307" s="355"/>
      <c r="Y307" s="355"/>
      <c r="Z307" s="355"/>
      <c r="AA307" s="355"/>
      <c r="AB307" s="355"/>
      <c r="AC307" s="355"/>
      <c r="AD307" s="355"/>
      <c r="AE307" s="355"/>
      <c r="AF307" s="355"/>
      <c r="AG307" s="355"/>
      <c r="AH307" s="355"/>
    </row>
    <row r="308" spans="1:34" x14ac:dyDescent="0.2">
      <c r="A308" s="355"/>
      <c r="B308" s="355"/>
      <c r="C308" s="355"/>
      <c r="D308" s="355"/>
      <c r="E308" s="355"/>
      <c r="F308" s="355"/>
      <c r="G308" s="355"/>
      <c r="H308" s="355"/>
      <c r="I308" s="355"/>
      <c r="J308" s="355"/>
      <c r="K308" s="598"/>
      <c r="L308" s="355"/>
      <c r="M308" s="355"/>
      <c r="N308" s="355"/>
      <c r="O308" s="355"/>
      <c r="R308" s="355"/>
      <c r="S308" s="355"/>
      <c r="T308" s="355"/>
      <c r="U308" s="355"/>
      <c r="V308" s="355"/>
      <c r="W308" s="355"/>
      <c r="X308" s="355"/>
      <c r="Y308" s="355"/>
      <c r="Z308" s="355"/>
      <c r="AA308" s="355"/>
      <c r="AB308" s="355"/>
      <c r="AC308" s="355"/>
      <c r="AD308" s="355"/>
      <c r="AE308" s="355"/>
      <c r="AF308" s="355"/>
      <c r="AG308" s="355"/>
      <c r="AH308" s="355"/>
    </row>
    <row r="309" spans="1:34" x14ac:dyDescent="0.2">
      <c r="A309" s="355"/>
      <c r="B309" s="355"/>
      <c r="C309" s="355"/>
      <c r="D309" s="355"/>
      <c r="E309" s="355"/>
      <c r="F309" s="355"/>
      <c r="G309" s="355"/>
      <c r="H309" s="355"/>
      <c r="I309" s="355"/>
      <c r="J309" s="355"/>
      <c r="K309" s="598"/>
      <c r="L309" s="355"/>
      <c r="M309" s="355"/>
      <c r="N309" s="355"/>
      <c r="O309" s="355"/>
      <c r="R309" s="355"/>
      <c r="S309" s="355"/>
      <c r="T309" s="355"/>
      <c r="U309" s="355"/>
      <c r="V309" s="355"/>
      <c r="W309" s="355"/>
      <c r="X309" s="355"/>
      <c r="Y309" s="355"/>
      <c r="Z309" s="355"/>
      <c r="AA309" s="355"/>
      <c r="AB309" s="355"/>
      <c r="AC309" s="355"/>
      <c r="AD309" s="355"/>
      <c r="AE309" s="355"/>
      <c r="AF309" s="355"/>
      <c r="AG309" s="355"/>
      <c r="AH309" s="355"/>
    </row>
    <row r="310" spans="1:34" x14ac:dyDescent="0.2">
      <c r="A310" s="355"/>
      <c r="B310" s="355"/>
      <c r="C310" s="355"/>
      <c r="D310" s="355"/>
      <c r="E310" s="355"/>
      <c r="F310" s="355"/>
      <c r="G310" s="355"/>
      <c r="H310" s="355"/>
      <c r="I310" s="355"/>
      <c r="J310" s="355"/>
      <c r="K310" s="598"/>
      <c r="L310" s="355"/>
      <c r="M310" s="355"/>
      <c r="N310" s="355"/>
      <c r="O310" s="355"/>
      <c r="R310" s="355"/>
      <c r="S310" s="355"/>
      <c r="T310" s="355"/>
      <c r="U310" s="355"/>
      <c r="V310" s="355"/>
      <c r="W310" s="355"/>
      <c r="X310" s="355"/>
      <c r="Y310" s="355"/>
      <c r="Z310" s="355"/>
      <c r="AA310" s="355"/>
      <c r="AB310" s="355"/>
      <c r="AC310" s="355"/>
      <c r="AD310" s="355"/>
      <c r="AE310" s="355"/>
      <c r="AF310" s="355"/>
      <c r="AG310" s="355"/>
      <c r="AH310" s="355"/>
    </row>
    <row r="311" spans="1:34" x14ac:dyDescent="0.2">
      <c r="A311" s="355"/>
      <c r="B311" s="355"/>
      <c r="C311" s="355"/>
      <c r="D311" s="355"/>
      <c r="E311" s="355"/>
      <c r="F311" s="355"/>
      <c r="G311" s="355"/>
      <c r="H311" s="355"/>
      <c r="I311" s="355"/>
      <c r="J311" s="355"/>
      <c r="K311" s="598"/>
      <c r="L311" s="355"/>
      <c r="M311" s="355"/>
      <c r="N311" s="355"/>
      <c r="O311" s="355"/>
      <c r="R311" s="355"/>
      <c r="S311" s="355"/>
      <c r="T311" s="355"/>
      <c r="U311" s="355"/>
      <c r="V311" s="355"/>
      <c r="W311" s="355"/>
      <c r="X311" s="355"/>
      <c r="Y311" s="355"/>
      <c r="Z311" s="355"/>
      <c r="AA311" s="355"/>
      <c r="AB311" s="355"/>
      <c r="AC311" s="355"/>
      <c r="AD311" s="355"/>
      <c r="AE311" s="355"/>
      <c r="AF311" s="355"/>
      <c r="AG311" s="355"/>
      <c r="AH311" s="355"/>
    </row>
    <row r="312" spans="1:34" x14ac:dyDescent="0.2">
      <c r="A312" s="355"/>
      <c r="B312" s="355"/>
      <c r="C312" s="355"/>
      <c r="D312" s="355"/>
      <c r="E312" s="355"/>
      <c r="F312" s="355"/>
      <c r="G312" s="355"/>
      <c r="H312" s="355"/>
      <c r="I312" s="355"/>
      <c r="J312" s="355"/>
      <c r="K312" s="598"/>
      <c r="L312" s="355"/>
      <c r="M312" s="355"/>
      <c r="N312" s="355"/>
      <c r="O312" s="355"/>
      <c r="R312" s="355"/>
      <c r="S312" s="355"/>
      <c r="T312" s="355"/>
      <c r="U312" s="355"/>
      <c r="V312" s="355"/>
      <c r="W312" s="355"/>
      <c r="X312" s="355"/>
      <c r="Y312" s="355"/>
      <c r="Z312" s="355"/>
      <c r="AA312" s="355"/>
      <c r="AB312" s="355"/>
      <c r="AC312" s="355"/>
      <c r="AD312" s="355"/>
      <c r="AE312" s="355"/>
      <c r="AF312" s="355"/>
      <c r="AG312" s="355"/>
      <c r="AH312" s="355"/>
    </row>
    <row r="313" spans="1:34" x14ac:dyDescent="0.2">
      <c r="A313" s="355"/>
      <c r="B313" s="355"/>
      <c r="C313" s="355"/>
      <c r="D313" s="355"/>
      <c r="E313" s="355"/>
      <c r="F313" s="355"/>
      <c r="G313" s="355"/>
      <c r="H313" s="355"/>
      <c r="I313" s="355"/>
      <c r="J313" s="355"/>
      <c r="K313" s="598"/>
      <c r="L313" s="355"/>
      <c r="M313" s="355"/>
      <c r="N313" s="355"/>
      <c r="O313" s="355"/>
      <c r="R313" s="355"/>
      <c r="S313" s="355"/>
      <c r="T313" s="355"/>
      <c r="U313" s="355"/>
      <c r="V313" s="355"/>
      <c r="W313" s="355"/>
      <c r="X313" s="355"/>
      <c r="Y313" s="355"/>
      <c r="Z313" s="355"/>
      <c r="AA313" s="355"/>
      <c r="AB313" s="355"/>
      <c r="AC313" s="355"/>
      <c r="AD313" s="355"/>
      <c r="AE313" s="355"/>
      <c r="AF313" s="355"/>
      <c r="AG313" s="355"/>
      <c r="AH313" s="355"/>
    </row>
    <row r="314" spans="1:34" x14ac:dyDescent="0.2">
      <c r="A314" s="355"/>
      <c r="B314" s="355"/>
      <c r="C314" s="355"/>
      <c r="D314" s="355"/>
      <c r="E314" s="355"/>
      <c r="F314" s="355"/>
      <c r="G314" s="355"/>
      <c r="H314" s="355"/>
      <c r="I314" s="355"/>
      <c r="J314" s="355"/>
      <c r="K314" s="598"/>
      <c r="L314" s="355"/>
      <c r="M314" s="355"/>
      <c r="N314" s="355"/>
      <c r="O314" s="355"/>
      <c r="R314" s="355"/>
      <c r="S314" s="355"/>
      <c r="T314" s="355"/>
      <c r="U314" s="355"/>
      <c r="V314" s="355"/>
      <c r="W314" s="355"/>
      <c r="X314" s="355"/>
      <c r="Y314" s="355"/>
      <c r="Z314" s="355"/>
      <c r="AA314" s="355"/>
      <c r="AB314" s="355"/>
      <c r="AC314" s="355"/>
      <c r="AD314" s="355"/>
      <c r="AE314" s="355"/>
      <c r="AF314" s="355"/>
      <c r="AG314" s="355"/>
      <c r="AH314" s="355"/>
    </row>
    <row r="315" spans="1:34" x14ac:dyDescent="0.2">
      <c r="A315" s="355"/>
      <c r="B315" s="355"/>
      <c r="C315" s="355"/>
      <c r="D315" s="355"/>
      <c r="E315" s="355"/>
      <c r="F315" s="355"/>
      <c r="G315" s="355"/>
      <c r="H315" s="355"/>
      <c r="I315" s="355"/>
      <c r="J315" s="355"/>
      <c r="K315" s="598"/>
      <c r="L315" s="355"/>
      <c r="M315" s="355"/>
      <c r="N315" s="355"/>
      <c r="O315" s="355"/>
      <c r="R315" s="355"/>
      <c r="S315" s="355"/>
      <c r="T315" s="355"/>
      <c r="U315" s="355"/>
      <c r="V315" s="355"/>
      <c r="W315" s="355"/>
      <c r="X315" s="355"/>
      <c r="Y315" s="355"/>
      <c r="Z315" s="355"/>
      <c r="AA315" s="355"/>
      <c r="AB315" s="355"/>
      <c r="AC315" s="355"/>
      <c r="AD315" s="355"/>
      <c r="AE315" s="355"/>
      <c r="AF315" s="355"/>
      <c r="AG315" s="355"/>
      <c r="AH315" s="355"/>
    </row>
    <row r="316" spans="1:34" x14ac:dyDescent="0.2">
      <c r="A316" s="355"/>
      <c r="B316" s="355"/>
      <c r="C316" s="355"/>
      <c r="D316" s="355"/>
      <c r="E316" s="355"/>
      <c r="F316" s="355"/>
      <c r="G316" s="355"/>
      <c r="H316" s="355"/>
      <c r="I316" s="355"/>
      <c r="J316" s="355"/>
      <c r="K316" s="598"/>
      <c r="L316" s="355"/>
      <c r="M316" s="355"/>
      <c r="N316" s="355"/>
      <c r="O316" s="355"/>
      <c r="R316" s="355"/>
      <c r="S316" s="355"/>
      <c r="T316" s="355"/>
      <c r="U316" s="355"/>
      <c r="V316" s="355"/>
      <c r="W316" s="355"/>
      <c r="X316" s="355"/>
      <c r="Y316" s="355"/>
      <c r="Z316" s="355"/>
      <c r="AA316" s="355"/>
      <c r="AB316" s="355"/>
      <c r="AC316" s="355"/>
      <c r="AD316" s="355"/>
      <c r="AE316" s="355"/>
      <c r="AF316" s="355"/>
      <c r="AG316" s="355"/>
      <c r="AH316" s="355"/>
    </row>
    <row r="317" spans="1:34" x14ac:dyDescent="0.2">
      <c r="A317" s="355"/>
      <c r="B317" s="355"/>
      <c r="C317" s="355"/>
      <c r="D317" s="355"/>
      <c r="E317" s="355"/>
      <c r="F317" s="355"/>
      <c r="G317" s="355"/>
      <c r="H317" s="355"/>
      <c r="I317" s="355"/>
      <c r="J317" s="355"/>
      <c r="K317" s="598"/>
      <c r="L317" s="355"/>
      <c r="M317" s="355"/>
      <c r="N317" s="355"/>
      <c r="O317" s="355"/>
      <c r="R317" s="355"/>
      <c r="S317" s="355"/>
      <c r="T317" s="355"/>
      <c r="U317" s="355"/>
      <c r="V317" s="355"/>
      <c r="W317" s="355"/>
      <c r="X317" s="355"/>
      <c r="Y317" s="355"/>
      <c r="Z317" s="355"/>
      <c r="AA317" s="355"/>
      <c r="AB317" s="355"/>
      <c r="AC317" s="355"/>
      <c r="AD317" s="355"/>
      <c r="AE317" s="355"/>
      <c r="AF317" s="355"/>
      <c r="AG317" s="355"/>
      <c r="AH317" s="355"/>
    </row>
    <row r="318" spans="1:34" x14ac:dyDescent="0.2">
      <c r="A318" s="355"/>
      <c r="B318" s="355"/>
      <c r="C318" s="355"/>
      <c r="D318" s="355"/>
      <c r="E318" s="355"/>
      <c r="F318" s="355"/>
      <c r="G318" s="355"/>
      <c r="H318" s="355"/>
      <c r="I318" s="355"/>
      <c r="J318" s="355"/>
      <c r="K318" s="598"/>
      <c r="L318" s="355"/>
      <c r="M318" s="355"/>
      <c r="N318" s="355"/>
      <c r="O318" s="355"/>
      <c r="R318" s="355"/>
      <c r="S318" s="355"/>
      <c r="T318" s="355"/>
      <c r="U318" s="355"/>
      <c r="V318" s="355"/>
      <c r="W318" s="355"/>
      <c r="X318" s="355"/>
      <c r="Y318" s="355"/>
      <c r="Z318" s="355"/>
      <c r="AA318" s="355"/>
      <c r="AB318" s="355"/>
      <c r="AC318" s="355"/>
      <c r="AD318" s="355"/>
      <c r="AE318" s="355"/>
      <c r="AF318" s="355"/>
      <c r="AG318" s="355"/>
      <c r="AH318" s="355"/>
    </row>
    <row r="319" spans="1:34" x14ac:dyDescent="0.2">
      <c r="A319" s="355"/>
      <c r="B319" s="355"/>
      <c r="C319" s="355"/>
      <c r="D319" s="355"/>
      <c r="E319" s="355"/>
      <c r="F319" s="355"/>
      <c r="G319" s="355"/>
      <c r="H319" s="355"/>
      <c r="I319" s="355"/>
      <c r="J319" s="355"/>
      <c r="K319" s="598"/>
      <c r="L319" s="355"/>
      <c r="M319" s="355"/>
      <c r="N319" s="355"/>
      <c r="O319" s="355"/>
      <c r="R319" s="355"/>
      <c r="S319" s="355"/>
      <c r="T319" s="355"/>
      <c r="U319" s="355"/>
      <c r="V319" s="355"/>
      <c r="W319" s="355"/>
      <c r="X319" s="355"/>
      <c r="Y319" s="355"/>
      <c r="Z319" s="355"/>
      <c r="AA319" s="355"/>
      <c r="AB319" s="355"/>
      <c r="AC319" s="355"/>
      <c r="AD319" s="355"/>
      <c r="AE319" s="355"/>
      <c r="AF319" s="355"/>
      <c r="AG319" s="355"/>
      <c r="AH319" s="355"/>
    </row>
    <row r="320" spans="1:34" x14ac:dyDescent="0.2">
      <c r="A320" s="355"/>
      <c r="B320" s="355"/>
      <c r="C320" s="355"/>
      <c r="D320" s="355"/>
      <c r="E320" s="355"/>
      <c r="F320" s="355"/>
      <c r="G320" s="355"/>
      <c r="H320" s="355"/>
      <c r="I320" s="355"/>
      <c r="J320" s="355"/>
      <c r="K320" s="598"/>
      <c r="L320" s="355"/>
      <c r="M320" s="355"/>
      <c r="N320" s="355"/>
      <c r="O320" s="355"/>
      <c r="R320" s="355"/>
      <c r="S320" s="355"/>
      <c r="T320" s="355"/>
      <c r="U320" s="355"/>
      <c r="V320" s="355"/>
      <c r="W320" s="355"/>
      <c r="X320" s="355"/>
      <c r="Y320" s="355"/>
      <c r="Z320" s="355"/>
      <c r="AA320" s="355"/>
      <c r="AB320" s="355"/>
      <c r="AC320" s="355"/>
      <c r="AD320" s="355"/>
      <c r="AE320" s="355"/>
      <c r="AF320" s="355"/>
      <c r="AG320" s="355"/>
      <c r="AH320" s="355"/>
    </row>
    <row r="321" spans="1:34" x14ac:dyDescent="0.2">
      <c r="A321" s="355"/>
      <c r="B321" s="355"/>
      <c r="C321" s="355"/>
      <c r="D321" s="355"/>
      <c r="E321" s="355"/>
      <c r="F321" s="355"/>
      <c r="G321" s="355"/>
      <c r="H321" s="355"/>
      <c r="I321" s="355"/>
      <c r="J321" s="355"/>
      <c r="K321" s="598"/>
      <c r="L321" s="355"/>
      <c r="M321" s="355"/>
      <c r="N321" s="355"/>
      <c r="O321" s="355"/>
      <c r="R321" s="355"/>
      <c r="S321" s="355"/>
      <c r="T321" s="355"/>
      <c r="U321" s="355"/>
      <c r="V321" s="355"/>
      <c r="W321" s="355"/>
      <c r="X321" s="355"/>
      <c r="Y321" s="355"/>
      <c r="Z321" s="355"/>
      <c r="AA321" s="355"/>
      <c r="AB321" s="355"/>
      <c r="AC321" s="355"/>
      <c r="AD321" s="355"/>
      <c r="AE321" s="355"/>
      <c r="AF321" s="355"/>
      <c r="AG321" s="355"/>
      <c r="AH321" s="355"/>
    </row>
    <row r="322" spans="1:34" x14ac:dyDescent="0.2">
      <c r="A322" s="355"/>
      <c r="B322" s="355"/>
      <c r="C322" s="355"/>
      <c r="D322" s="355"/>
      <c r="E322" s="355"/>
      <c r="F322" s="355"/>
      <c r="G322" s="355"/>
      <c r="H322" s="355"/>
      <c r="I322" s="355"/>
      <c r="J322" s="355"/>
      <c r="K322" s="598"/>
      <c r="L322" s="355"/>
      <c r="M322" s="355"/>
      <c r="N322" s="355"/>
      <c r="O322" s="355"/>
      <c r="R322" s="355"/>
      <c r="S322" s="355"/>
      <c r="T322" s="355"/>
      <c r="U322" s="355"/>
      <c r="V322" s="355"/>
      <c r="W322" s="355"/>
      <c r="X322" s="355"/>
      <c r="Y322" s="355"/>
      <c r="Z322" s="355"/>
      <c r="AA322" s="355"/>
      <c r="AB322" s="355"/>
      <c r="AC322" s="355"/>
      <c r="AD322" s="355"/>
      <c r="AE322" s="355"/>
      <c r="AF322" s="355"/>
      <c r="AG322" s="355"/>
      <c r="AH322" s="355"/>
    </row>
    <row r="323" spans="1:34" x14ac:dyDescent="0.2">
      <c r="A323" s="355"/>
      <c r="B323" s="355"/>
      <c r="C323" s="355"/>
      <c r="D323" s="355"/>
      <c r="E323" s="355"/>
      <c r="F323" s="355"/>
      <c r="G323" s="355"/>
      <c r="H323" s="355"/>
      <c r="I323" s="355"/>
      <c r="J323" s="355"/>
      <c r="K323" s="598"/>
      <c r="L323" s="355"/>
      <c r="M323" s="355"/>
      <c r="N323" s="355"/>
      <c r="O323" s="355"/>
      <c r="R323" s="355"/>
      <c r="S323" s="355"/>
      <c r="T323" s="355"/>
      <c r="U323" s="355"/>
      <c r="V323" s="355"/>
      <c r="W323" s="355"/>
      <c r="X323" s="355"/>
      <c r="Y323" s="355"/>
      <c r="Z323" s="355"/>
      <c r="AA323" s="355"/>
      <c r="AB323" s="355"/>
      <c r="AC323" s="355"/>
      <c r="AD323" s="355"/>
      <c r="AE323" s="355"/>
      <c r="AF323" s="355"/>
      <c r="AG323" s="355"/>
      <c r="AH323" s="355"/>
    </row>
    <row r="324" spans="1:34" x14ac:dyDescent="0.2">
      <c r="A324" s="355"/>
      <c r="B324" s="355"/>
      <c r="C324" s="355"/>
      <c r="D324" s="355"/>
      <c r="E324" s="355"/>
      <c r="F324" s="355"/>
      <c r="G324" s="355"/>
      <c r="H324" s="355"/>
      <c r="I324" s="355"/>
      <c r="J324" s="355"/>
      <c r="K324" s="598"/>
      <c r="L324" s="355"/>
      <c r="M324" s="355"/>
      <c r="N324" s="355"/>
      <c r="O324" s="355"/>
      <c r="R324" s="355"/>
      <c r="S324" s="355"/>
      <c r="T324" s="355"/>
      <c r="U324" s="355"/>
      <c r="V324" s="355"/>
      <c r="W324" s="355"/>
      <c r="X324" s="355"/>
      <c r="Y324" s="355"/>
      <c r="Z324" s="355"/>
      <c r="AA324" s="355"/>
      <c r="AB324" s="355"/>
      <c r="AC324" s="355"/>
      <c r="AD324" s="355"/>
      <c r="AE324" s="355"/>
      <c r="AF324" s="355"/>
      <c r="AG324" s="355"/>
      <c r="AH324" s="355"/>
    </row>
    <row r="325" spans="1:34" x14ac:dyDescent="0.2">
      <c r="A325" s="355"/>
      <c r="B325" s="355"/>
      <c r="C325" s="355"/>
      <c r="D325" s="355"/>
      <c r="E325" s="355"/>
      <c r="F325" s="355"/>
      <c r="G325" s="355"/>
      <c r="H325" s="355"/>
      <c r="I325" s="355"/>
      <c r="J325" s="355"/>
      <c r="K325" s="598"/>
      <c r="L325" s="355"/>
      <c r="M325" s="355"/>
      <c r="N325" s="355"/>
      <c r="O325" s="355"/>
      <c r="R325" s="355"/>
      <c r="S325" s="355"/>
      <c r="T325" s="355"/>
      <c r="U325" s="355"/>
      <c r="V325" s="355"/>
      <c r="W325" s="355"/>
      <c r="X325" s="355"/>
      <c r="Y325" s="355"/>
      <c r="Z325" s="355"/>
      <c r="AA325" s="355"/>
      <c r="AB325" s="355"/>
      <c r="AC325" s="355"/>
      <c r="AD325" s="355"/>
      <c r="AE325" s="355"/>
      <c r="AF325" s="355"/>
      <c r="AG325" s="355"/>
      <c r="AH325" s="355"/>
    </row>
    <row r="326" spans="1:34" x14ac:dyDescent="0.2">
      <c r="A326" s="355"/>
      <c r="B326" s="355"/>
      <c r="C326" s="355"/>
      <c r="D326" s="355"/>
      <c r="E326" s="355"/>
      <c r="F326" s="355"/>
      <c r="G326" s="355"/>
      <c r="H326" s="355"/>
      <c r="I326" s="355"/>
      <c r="J326" s="355"/>
      <c r="K326" s="598"/>
      <c r="L326" s="355"/>
      <c r="M326" s="355"/>
      <c r="N326" s="355"/>
      <c r="O326" s="355"/>
      <c r="R326" s="355"/>
      <c r="S326" s="355"/>
      <c r="T326" s="355"/>
      <c r="U326" s="355"/>
      <c r="V326" s="355"/>
      <c r="W326" s="355"/>
      <c r="X326" s="355"/>
      <c r="Y326" s="355"/>
      <c r="Z326" s="355"/>
      <c r="AA326" s="355"/>
      <c r="AB326" s="355"/>
      <c r="AC326" s="355"/>
      <c r="AD326" s="355"/>
      <c r="AE326" s="355"/>
      <c r="AF326" s="355"/>
      <c r="AG326" s="355"/>
      <c r="AH326" s="355"/>
    </row>
    <row r="327" spans="1:34" x14ac:dyDescent="0.2">
      <c r="A327" s="355"/>
      <c r="B327" s="355"/>
      <c r="C327" s="355"/>
      <c r="D327" s="355"/>
      <c r="E327" s="355"/>
      <c r="F327" s="355"/>
      <c r="G327" s="355"/>
      <c r="H327" s="355"/>
      <c r="I327" s="355"/>
      <c r="J327" s="355"/>
      <c r="K327" s="598"/>
      <c r="L327" s="355"/>
      <c r="M327" s="355"/>
      <c r="N327" s="355"/>
      <c r="O327" s="355"/>
      <c r="R327" s="355"/>
      <c r="S327" s="355"/>
      <c r="T327" s="355"/>
      <c r="U327" s="355"/>
      <c r="V327" s="355"/>
      <c r="W327" s="355"/>
      <c r="X327" s="355"/>
      <c r="Y327" s="355"/>
      <c r="Z327" s="355"/>
      <c r="AA327" s="355"/>
      <c r="AB327" s="355"/>
      <c r="AC327" s="355"/>
      <c r="AD327" s="355"/>
      <c r="AE327" s="355"/>
      <c r="AF327" s="355"/>
      <c r="AG327" s="355"/>
      <c r="AH327" s="355"/>
    </row>
    <row r="328" spans="1:34" x14ac:dyDescent="0.2">
      <c r="A328" s="355"/>
      <c r="B328" s="355"/>
      <c r="C328" s="355"/>
      <c r="D328" s="355"/>
      <c r="E328" s="355"/>
      <c r="F328" s="355"/>
      <c r="G328" s="355"/>
      <c r="H328" s="355"/>
      <c r="I328" s="355"/>
      <c r="J328" s="355"/>
      <c r="K328" s="598"/>
      <c r="L328" s="355"/>
      <c r="M328" s="355"/>
      <c r="N328" s="355"/>
      <c r="O328" s="355"/>
      <c r="R328" s="355"/>
      <c r="S328" s="355"/>
      <c r="T328" s="355"/>
      <c r="U328" s="355"/>
      <c r="V328" s="355"/>
      <c r="W328" s="355"/>
      <c r="X328" s="355"/>
      <c r="Y328" s="355"/>
      <c r="Z328" s="355"/>
      <c r="AA328" s="355"/>
      <c r="AB328" s="355"/>
      <c r="AC328" s="355"/>
      <c r="AD328" s="355"/>
      <c r="AE328" s="355"/>
      <c r="AF328" s="355"/>
      <c r="AG328" s="355"/>
      <c r="AH328" s="355"/>
    </row>
    <row r="329" spans="1:34" x14ac:dyDescent="0.2">
      <c r="A329" s="355"/>
      <c r="B329" s="355"/>
      <c r="C329" s="355"/>
      <c r="D329" s="355"/>
      <c r="E329" s="355"/>
      <c r="F329" s="355"/>
      <c r="G329" s="355"/>
      <c r="H329" s="355"/>
      <c r="I329" s="355"/>
      <c r="J329" s="355"/>
      <c r="K329" s="598"/>
      <c r="L329" s="355"/>
      <c r="M329" s="355"/>
      <c r="N329" s="355"/>
      <c r="O329" s="355"/>
      <c r="R329" s="355"/>
      <c r="S329" s="355"/>
      <c r="T329" s="355"/>
      <c r="U329" s="355"/>
      <c r="V329" s="355"/>
      <c r="W329" s="355"/>
      <c r="X329" s="355"/>
      <c r="Y329" s="355"/>
      <c r="Z329" s="355"/>
      <c r="AA329" s="355"/>
      <c r="AB329" s="355"/>
      <c r="AC329" s="355"/>
      <c r="AD329" s="355"/>
      <c r="AE329" s="355"/>
      <c r="AF329" s="355"/>
      <c r="AG329" s="355"/>
      <c r="AH329" s="355"/>
    </row>
    <row r="330" spans="1:34" x14ac:dyDescent="0.2">
      <c r="A330" s="355"/>
      <c r="B330" s="355"/>
      <c r="C330" s="355"/>
      <c r="D330" s="355"/>
      <c r="E330" s="355"/>
      <c r="F330" s="355"/>
      <c r="G330" s="355"/>
      <c r="H330" s="355"/>
      <c r="I330" s="355"/>
      <c r="J330" s="355"/>
      <c r="K330" s="598"/>
      <c r="L330" s="355"/>
      <c r="M330" s="355"/>
      <c r="N330" s="355"/>
      <c r="O330" s="355"/>
      <c r="R330" s="355"/>
      <c r="S330" s="355"/>
      <c r="T330" s="355"/>
      <c r="U330" s="355"/>
      <c r="V330" s="355"/>
      <c r="W330" s="355"/>
      <c r="X330" s="355"/>
      <c r="Y330" s="355"/>
      <c r="Z330" s="355"/>
      <c r="AA330" s="355"/>
      <c r="AB330" s="355"/>
      <c r="AC330" s="355"/>
      <c r="AD330" s="355"/>
      <c r="AE330" s="355"/>
      <c r="AF330" s="355"/>
      <c r="AG330" s="355"/>
      <c r="AH330" s="355"/>
    </row>
    <row r="331" spans="1:34" x14ac:dyDescent="0.2">
      <c r="A331" s="355"/>
      <c r="B331" s="355"/>
      <c r="C331" s="355"/>
      <c r="D331" s="355"/>
      <c r="E331" s="355"/>
      <c r="F331" s="355"/>
      <c r="G331" s="355"/>
      <c r="H331" s="355"/>
      <c r="I331" s="355"/>
      <c r="J331" s="355"/>
      <c r="K331" s="598"/>
      <c r="L331" s="355"/>
      <c r="M331" s="355"/>
      <c r="N331" s="355"/>
      <c r="O331" s="355"/>
      <c r="R331" s="355"/>
      <c r="S331" s="355"/>
      <c r="T331" s="355"/>
      <c r="U331" s="355"/>
      <c r="V331" s="355"/>
      <c r="W331" s="355"/>
      <c r="X331" s="355"/>
      <c r="Y331" s="355"/>
      <c r="Z331" s="355"/>
      <c r="AA331" s="355"/>
      <c r="AB331" s="355"/>
      <c r="AC331" s="355"/>
      <c r="AD331" s="355"/>
      <c r="AE331" s="355"/>
      <c r="AF331" s="355"/>
      <c r="AG331" s="355"/>
      <c r="AH331" s="355"/>
    </row>
    <row r="332" spans="1:34" x14ac:dyDescent="0.2">
      <c r="A332" s="355"/>
      <c r="B332" s="355"/>
      <c r="C332" s="355"/>
      <c r="D332" s="355"/>
      <c r="E332" s="355"/>
      <c r="F332" s="355"/>
      <c r="G332" s="355"/>
      <c r="H332" s="355"/>
      <c r="I332" s="355"/>
      <c r="J332" s="355"/>
      <c r="K332" s="598"/>
      <c r="L332" s="355"/>
      <c r="M332" s="355"/>
      <c r="N332" s="355"/>
      <c r="O332" s="355"/>
      <c r="R332" s="355"/>
      <c r="S332" s="355"/>
      <c r="T332" s="355"/>
      <c r="U332" s="355"/>
      <c r="V332" s="355"/>
      <c r="W332" s="355"/>
      <c r="X332" s="355"/>
      <c r="Y332" s="355"/>
      <c r="Z332" s="355"/>
      <c r="AA332" s="355"/>
      <c r="AB332" s="355"/>
      <c r="AC332" s="355"/>
      <c r="AD332" s="355"/>
      <c r="AE332" s="355"/>
      <c r="AF332" s="355"/>
      <c r="AG332" s="355"/>
      <c r="AH332" s="355"/>
    </row>
    <row r="333" spans="1:34" x14ac:dyDescent="0.2">
      <c r="A333" s="355"/>
      <c r="B333" s="355"/>
      <c r="C333" s="355"/>
      <c r="D333" s="355"/>
      <c r="E333" s="355"/>
      <c r="F333" s="355"/>
      <c r="G333" s="355"/>
      <c r="H333" s="355"/>
      <c r="I333" s="355"/>
      <c r="J333" s="355"/>
      <c r="K333" s="598"/>
      <c r="L333" s="355"/>
      <c r="M333" s="355"/>
      <c r="N333" s="355"/>
      <c r="O333" s="355"/>
      <c r="R333" s="355"/>
      <c r="S333" s="355"/>
      <c r="T333" s="355"/>
      <c r="U333" s="355"/>
      <c r="V333" s="355"/>
      <c r="W333" s="355"/>
      <c r="X333" s="355"/>
      <c r="Y333" s="355"/>
      <c r="Z333" s="355"/>
      <c r="AA333" s="355"/>
      <c r="AB333" s="355"/>
      <c r="AC333" s="355"/>
      <c r="AD333" s="355"/>
      <c r="AE333" s="355"/>
      <c r="AF333" s="355"/>
      <c r="AG333" s="355"/>
      <c r="AH333" s="355"/>
    </row>
    <row r="334" spans="1:34" x14ac:dyDescent="0.2">
      <c r="A334" s="355"/>
      <c r="B334" s="355"/>
      <c r="C334" s="355"/>
      <c r="D334" s="355"/>
      <c r="E334" s="355"/>
      <c r="F334" s="355"/>
      <c r="G334" s="355"/>
      <c r="H334" s="355"/>
      <c r="I334" s="355"/>
      <c r="J334" s="355"/>
      <c r="K334" s="598"/>
      <c r="L334" s="355"/>
      <c r="M334" s="355"/>
      <c r="N334" s="355"/>
      <c r="O334" s="355"/>
      <c r="R334" s="355"/>
      <c r="S334" s="355"/>
      <c r="T334" s="355"/>
      <c r="U334" s="355"/>
      <c r="V334" s="355"/>
      <c r="W334" s="355"/>
      <c r="X334" s="355"/>
      <c r="Y334" s="355"/>
      <c r="Z334" s="355"/>
      <c r="AA334" s="355"/>
      <c r="AB334" s="355"/>
      <c r="AC334" s="355"/>
      <c r="AD334" s="355"/>
      <c r="AE334" s="355"/>
      <c r="AF334" s="355"/>
      <c r="AG334" s="355"/>
      <c r="AH334" s="355"/>
    </row>
    <row r="335" spans="1:34" x14ac:dyDescent="0.2">
      <c r="A335" s="355"/>
      <c r="B335" s="355"/>
      <c r="C335" s="355"/>
      <c r="D335" s="355"/>
      <c r="E335" s="355"/>
      <c r="F335" s="355"/>
      <c r="G335" s="355"/>
      <c r="H335" s="355"/>
      <c r="I335" s="355"/>
      <c r="J335" s="355"/>
      <c r="K335" s="598"/>
      <c r="L335" s="355"/>
      <c r="M335" s="355"/>
      <c r="N335" s="355"/>
      <c r="O335" s="355"/>
      <c r="R335" s="355"/>
      <c r="S335" s="355"/>
      <c r="T335" s="355"/>
      <c r="U335" s="355"/>
      <c r="V335" s="355"/>
      <c r="W335" s="355"/>
      <c r="X335" s="355"/>
      <c r="Y335" s="355"/>
      <c r="Z335" s="355"/>
      <c r="AA335" s="355"/>
      <c r="AB335" s="355"/>
      <c r="AC335" s="355"/>
      <c r="AD335" s="355"/>
      <c r="AE335" s="355"/>
      <c r="AF335" s="355"/>
      <c r="AG335" s="355"/>
      <c r="AH335" s="355"/>
    </row>
    <row r="336" spans="1:34" x14ac:dyDescent="0.2">
      <c r="A336" s="355"/>
      <c r="B336" s="355"/>
      <c r="C336" s="355"/>
      <c r="D336" s="355"/>
      <c r="E336" s="355"/>
      <c r="F336" s="355"/>
      <c r="G336" s="355"/>
      <c r="H336" s="355"/>
      <c r="I336" s="355"/>
      <c r="J336" s="355"/>
      <c r="K336" s="598"/>
      <c r="L336" s="355"/>
      <c r="M336" s="355"/>
      <c r="N336" s="355"/>
      <c r="O336" s="355"/>
      <c r="R336" s="355"/>
      <c r="S336" s="355"/>
      <c r="T336" s="355"/>
      <c r="U336" s="355"/>
      <c r="V336" s="355"/>
      <c r="W336" s="355"/>
      <c r="X336" s="355"/>
      <c r="Y336" s="355"/>
      <c r="Z336" s="355"/>
      <c r="AA336" s="355"/>
      <c r="AB336" s="355"/>
      <c r="AC336" s="355"/>
      <c r="AD336" s="355"/>
      <c r="AE336" s="355"/>
      <c r="AF336" s="355"/>
      <c r="AG336" s="355"/>
      <c r="AH336" s="355"/>
    </row>
    <row r="337" spans="1:34" x14ac:dyDescent="0.2">
      <c r="A337" s="355"/>
      <c r="B337" s="355"/>
      <c r="C337" s="355"/>
      <c r="D337" s="355"/>
      <c r="E337" s="355"/>
      <c r="F337" s="355"/>
      <c r="G337" s="355"/>
      <c r="H337" s="355"/>
      <c r="I337" s="355"/>
      <c r="J337" s="355"/>
      <c r="K337" s="598"/>
      <c r="L337" s="355"/>
      <c r="M337" s="355"/>
      <c r="N337" s="355"/>
      <c r="O337" s="355"/>
      <c r="R337" s="355"/>
      <c r="S337" s="355"/>
      <c r="T337" s="355"/>
      <c r="U337" s="355"/>
      <c r="V337" s="355"/>
      <c r="W337" s="355"/>
      <c r="X337" s="355"/>
      <c r="Y337" s="355"/>
      <c r="Z337" s="355"/>
      <c r="AA337" s="355"/>
      <c r="AB337" s="355"/>
      <c r="AC337" s="355"/>
      <c r="AD337" s="355"/>
      <c r="AE337" s="355"/>
      <c r="AF337" s="355"/>
      <c r="AG337" s="355"/>
      <c r="AH337" s="355"/>
    </row>
    <row r="338" spans="1:34" x14ac:dyDescent="0.2">
      <c r="A338" s="355"/>
      <c r="B338" s="355"/>
      <c r="C338" s="355"/>
      <c r="D338" s="355"/>
      <c r="E338" s="355"/>
      <c r="F338" s="355"/>
      <c r="G338" s="355"/>
      <c r="H338" s="355"/>
      <c r="I338" s="355"/>
      <c r="J338" s="355"/>
      <c r="K338" s="598"/>
      <c r="L338" s="355"/>
      <c r="M338" s="355"/>
      <c r="N338" s="355"/>
      <c r="O338" s="355"/>
      <c r="R338" s="355"/>
      <c r="S338" s="355"/>
      <c r="T338" s="355"/>
      <c r="U338" s="355"/>
      <c r="V338" s="355"/>
      <c r="W338" s="355"/>
      <c r="X338" s="355"/>
      <c r="Y338" s="355"/>
      <c r="Z338" s="355"/>
      <c r="AA338" s="355"/>
      <c r="AB338" s="355"/>
      <c r="AC338" s="355"/>
      <c r="AD338" s="355"/>
      <c r="AE338" s="355"/>
      <c r="AF338" s="355"/>
      <c r="AG338" s="355"/>
      <c r="AH338" s="355"/>
    </row>
    <row r="339" spans="1:34" x14ac:dyDescent="0.2">
      <c r="A339" s="355"/>
      <c r="B339" s="355"/>
      <c r="C339" s="355"/>
      <c r="D339" s="355"/>
      <c r="E339" s="355"/>
      <c r="F339" s="355"/>
      <c r="G339" s="355"/>
      <c r="H339" s="355"/>
      <c r="I339" s="355"/>
      <c r="J339" s="355"/>
      <c r="K339" s="598"/>
      <c r="L339" s="355"/>
      <c r="M339" s="355"/>
      <c r="N339" s="355"/>
      <c r="O339" s="355"/>
      <c r="R339" s="355"/>
      <c r="S339" s="355"/>
      <c r="T339" s="355"/>
      <c r="U339" s="355"/>
      <c r="V339" s="355"/>
      <c r="W339" s="355"/>
      <c r="X339" s="355"/>
      <c r="Y339" s="355"/>
      <c r="Z339" s="355"/>
      <c r="AA339" s="355"/>
      <c r="AB339" s="355"/>
      <c r="AC339" s="355"/>
      <c r="AD339" s="355"/>
      <c r="AE339" s="355"/>
      <c r="AF339" s="355"/>
      <c r="AG339" s="355"/>
      <c r="AH339" s="355"/>
    </row>
    <row r="340" spans="1:34" x14ac:dyDescent="0.2">
      <c r="A340" s="355"/>
      <c r="B340" s="355"/>
      <c r="C340" s="355"/>
      <c r="D340" s="355"/>
      <c r="E340" s="355"/>
      <c r="F340" s="355"/>
      <c r="G340" s="355"/>
      <c r="H340" s="355"/>
      <c r="I340" s="355"/>
      <c r="J340" s="355"/>
      <c r="K340" s="598"/>
      <c r="L340" s="355"/>
      <c r="M340" s="355"/>
      <c r="N340" s="355"/>
      <c r="O340" s="355"/>
      <c r="R340" s="355"/>
      <c r="S340" s="355"/>
      <c r="T340" s="355"/>
      <c r="U340" s="355"/>
      <c r="V340" s="355"/>
      <c r="W340" s="355"/>
      <c r="X340" s="355"/>
      <c r="Y340" s="355"/>
      <c r="Z340" s="355"/>
      <c r="AA340" s="355"/>
      <c r="AB340" s="355"/>
      <c r="AC340" s="355"/>
      <c r="AD340" s="355"/>
      <c r="AE340" s="355"/>
      <c r="AF340" s="355"/>
      <c r="AG340" s="355"/>
      <c r="AH340" s="355"/>
    </row>
    <row r="341" spans="1:34" x14ac:dyDescent="0.2">
      <c r="A341" s="355"/>
      <c r="B341" s="355"/>
      <c r="C341" s="355"/>
      <c r="D341" s="355"/>
      <c r="E341" s="355"/>
      <c r="F341" s="355"/>
      <c r="G341" s="355"/>
      <c r="H341" s="355"/>
      <c r="I341" s="355"/>
      <c r="J341" s="355"/>
      <c r="K341" s="598"/>
      <c r="L341" s="355"/>
      <c r="M341" s="355"/>
      <c r="N341" s="355"/>
      <c r="O341" s="355"/>
      <c r="R341" s="355"/>
      <c r="S341" s="355"/>
      <c r="T341" s="355"/>
      <c r="U341" s="355"/>
      <c r="V341" s="355"/>
      <c r="W341" s="355"/>
      <c r="X341" s="355"/>
      <c r="Y341" s="355"/>
      <c r="Z341" s="355"/>
      <c r="AA341" s="355"/>
      <c r="AB341" s="355"/>
      <c r="AC341" s="355"/>
      <c r="AD341" s="355"/>
      <c r="AE341" s="355"/>
      <c r="AF341" s="355"/>
      <c r="AG341" s="355"/>
      <c r="AH341" s="355"/>
    </row>
    <row r="342" spans="1:34" x14ac:dyDescent="0.2">
      <c r="A342" s="355"/>
      <c r="B342" s="355"/>
      <c r="C342" s="355"/>
      <c r="D342" s="355"/>
      <c r="E342" s="355"/>
      <c r="F342" s="355"/>
      <c r="G342" s="355"/>
      <c r="H342" s="355"/>
      <c r="I342" s="355"/>
      <c r="J342" s="355"/>
      <c r="K342" s="598"/>
      <c r="L342" s="355"/>
      <c r="M342" s="355"/>
      <c r="N342" s="355"/>
      <c r="O342" s="355"/>
      <c r="R342" s="355"/>
      <c r="S342" s="355"/>
      <c r="T342" s="355"/>
      <c r="U342" s="355"/>
      <c r="V342" s="355"/>
      <c r="W342" s="355"/>
      <c r="X342" s="355"/>
      <c r="Y342" s="355"/>
      <c r="Z342" s="355"/>
      <c r="AA342" s="355"/>
      <c r="AB342" s="355"/>
      <c r="AC342" s="355"/>
      <c r="AD342" s="355"/>
      <c r="AE342" s="355"/>
      <c r="AF342" s="355"/>
      <c r="AG342" s="355"/>
      <c r="AH342" s="355"/>
    </row>
    <row r="343" spans="1:34" x14ac:dyDescent="0.2">
      <c r="A343" s="355"/>
      <c r="B343" s="355"/>
      <c r="C343" s="355"/>
      <c r="D343" s="355"/>
      <c r="E343" s="355"/>
      <c r="F343" s="355"/>
      <c r="G343" s="355"/>
      <c r="H343" s="355"/>
      <c r="I343" s="355"/>
      <c r="J343" s="355"/>
      <c r="K343" s="598"/>
      <c r="L343" s="355"/>
      <c r="M343" s="355"/>
      <c r="N343" s="355"/>
      <c r="O343" s="355"/>
      <c r="R343" s="355"/>
      <c r="S343" s="355"/>
      <c r="T343" s="355"/>
      <c r="U343" s="355"/>
      <c r="V343" s="355"/>
      <c r="W343" s="355"/>
      <c r="X343" s="355"/>
      <c r="Y343" s="355"/>
      <c r="Z343" s="355"/>
      <c r="AA343" s="355"/>
      <c r="AB343" s="355"/>
      <c r="AC343" s="355"/>
      <c r="AD343" s="355"/>
      <c r="AE343" s="355"/>
      <c r="AF343" s="355"/>
      <c r="AG343" s="355"/>
      <c r="AH343" s="355"/>
    </row>
    <row r="344" spans="1:34" x14ac:dyDescent="0.2">
      <c r="A344" s="355"/>
      <c r="B344" s="355"/>
      <c r="C344" s="355"/>
      <c r="D344" s="355"/>
      <c r="E344" s="355"/>
      <c r="F344" s="355"/>
      <c r="G344" s="355"/>
      <c r="H344" s="355"/>
      <c r="I344" s="355"/>
      <c r="J344" s="355"/>
      <c r="K344" s="598"/>
      <c r="L344" s="355"/>
      <c r="M344" s="355"/>
      <c r="N344" s="355"/>
      <c r="O344" s="355"/>
      <c r="R344" s="355"/>
      <c r="S344" s="355"/>
      <c r="T344" s="355"/>
      <c r="U344" s="355"/>
      <c r="V344" s="355"/>
      <c r="W344" s="355"/>
      <c r="X344" s="355"/>
      <c r="Y344" s="355"/>
      <c r="Z344" s="355"/>
      <c r="AA344" s="355"/>
      <c r="AB344" s="355"/>
      <c r="AC344" s="355"/>
      <c r="AD344" s="355"/>
      <c r="AE344" s="355"/>
      <c r="AF344" s="355"/>
      <c r="AG344" s="355"/>
      <c r="AH344" s="355"/>
    </row>
    <row r="345" spans="1:34" x14ac:dyDescent="0.2">
      <c r="A345" s="355"/>
      <c r="B345" s="355"/>
      <c r="C345" s="355"/>
      <c r="D345" s="355"/>
      <c r="E345" s="355"/>
      <c r="F345" s="355"/>
      <c r="G345" s="355"/>
      <c r="H345" s="355"/>
      <c r="I345" s="355"/>
      <c r="J345" s="355"/>
      <c r="K345" s="598"/>
      <c r="L345" s="355"/>
      <c r="M345" s="355"/>
      <c r="N345" s="355"/>
      <c r="O345" s="355"/>
      <c r="R345" s="355"/>
      <c r="S345" s="355"/>
      <c r="T345" s="355"/>
      <c r="U345" s="355"/>
      <c r="V345" s="355"/>
      <c r="W345" s="355"/>
      <c r="X345" s="355"/>
      <c r="Y345" s="355"/>
      <c r="Z345" s="355"/>
      <c r="AA345" s="355"/>
      <c r="AB345" s="355"/>
      <c r="AC345" s="355"/>
      <c r="AD345" s="355"/>
      <c r="AE345" s="355"/>
      <c r="AF345" s="355"/>
      <c r="AG345" s="355"/>
      <c r="AH345" s="355"/>
    </row>
    <row r="346" spans="1:34" x14ac:dyDescent="0.2">
      <c r="A346" s="355"/>
      <c r="B346" s="355"/>
      <c r="C346" s="355"/>
      <c r="D346" s="355"/>
      <c r="E346" s="355"/>
      <c r="F346" s="355"/>
      <c r="G346" s="355"/>
      <c r="H346" s="355"/>
      <c r="I346" s="355"/>
      <c r="J346" s="355"/>
      <c r="K346" s="598"/>
      <c r="L346" s="355"/>
      <c r="M346" s="355"/>
      <c r="N346" s="355"/>
      <c r="O346" s="355"/>
      <c r="R346" s="355"/>
      <c r="S346" s="355"/>
      <c r="T346" s="355"/>
      <c r="U346" s="355"/>
      <c r="V346" s="355"/>
      <c r="W346" s="355"/>
      <c r="X346" s="355"/>
      <c r="Y346" s="355"/>
      <c r="Z346" s="355"/>
      <c r="AA346" s="355"/>
      <c r="AB346" s="355"/>
      <c r="AC346" s="355"/>
      <c r="AD346" s="355"/>
      <c r="AE346" s="355"/>
      <c r="AF346" s="355"/>
      <c r="AG346" s="355"/>
      <c r="AH346" s="355"/>
    </row>
    <row r="347" spans="1:34" x14ac:dyDescent="0.2">
      <c r="A347" s="355"/>
      <c r="B347" s="355"/>
      <c r="C347" s="355"/>
      <c r="D347" s="355"/>
      <c r="E347" s="355"/>
      <c r="F347" s="355"/>
      <c r="G347" s="355"/>
      <c r="H347" s="355"/>
      <c r="I347" s="355"/>
      <c r="J347" s="355"/>
      <c r="K347" s="598"/>
      <c r="L347" s="355"/>
      <c r="M347" s="355"/>
      <c r="N347" s="355"/>
      <c r="O347" s="355"/>
      <c r="R347" s="355"/>
      <c r="S347" s="355"/>
      <c r="T347" s="355"/>
      <c r="U347" s="355"/>
      <c r="V347" s="355"/>
      <c r="W347" s="355"/>
      <c r="X347" s="355"/>
      <c r="Y347" s="355"/>
      <c r="Z347" s="355"/>
      <c r="AA347" s="355"/>
      <c r="AB347" s="355"/>
      <c r="AC347" s="355"/>
      <c r="AD347" s="355"/>
      <c r="AE347" s="355"/>
      <c r="AF347" s="355"/>
      <c r="AG347" s="355"/>
      <c r="AH347" s="355"/>
    </row>
    <row r="348" spans="1:34" x14ac:dyDescent="0.2">
      <c r="A348" s="355"/>
      <c r="B348" s="355"/>
      <c r="C348" s="355"/>
      <c r="D348" s="355"/>
      <c r="E348" s="355"/>
      <c r="F348" s="355"/>
      <c r="G348" s="355"/>
      <c r="H348" s="355"/>
      <c r="I348" s="355"/>
      <c r="J348" s="355"/>
      <c r="K348" s="598"/>
      <c r="L348" s="355"/>
      <c r="M348" s="355"/>
      <c r="N348" s="355"/>
      <c r="O348" s="355"/>
      <c r="R348" s="355"/>
      <c r="S348" s="355"/>
      <c r="T348" s="355"/>
      <c r="U348" s="355"/>
      <c r="V348" s="355"/>
      <c r="W348" s="355"/>
      <c r="X348" s="355"/>
      <c r="Y348" s="355"/>
      <c r="Z348" s="355"/>
      <c r="AA348" s="355"/>
      <c r="AB348" s="355"/>
      <c r="AC348" s="355"/>
      <c r="AD348" s="355"/>
      <c r="AE348" s="355"/>
      <c r="AF348" s="355"/>
      <c r="AG348" s="355"/>
      <c r="AH348" s="355"/>
    </row>
    <row r="349" spans="1:34" x14ac:dyDescent="0.2">
      <c r="A349" s="355"/>
      <c r="B349" s="355"/>
      <c r="C349" s="355"/>
      <c r="D349" s="355"/>
      <c r="E349" s="355"/>
      <c r="F349" s="355"/>
      <c r="G349" s="355"/>
      <c r="H349" s="355"/>
      <c r="I349" s="355"/>
      <c r="J349" s="355"/>
      <c r="K349" s="598"/>
      <c r="L349" s="355"/>
      <c r="M349" s="355"/>
      <c r="N349" s="355"/>
      <c r="O349" s="355"/>
      <c r="R349" s="355"/>
      <c r="S349" s="355"/>
      <c r="T349" s="355"/>
      <c r="U349" s="355"/>
      <c r="V349" s="355"/>
      <c r="W349" s="355"/>
      <c r="X349" s="355"/>
      <c r="Y349" s="355"/>
      <c r="Z349" s="355"/>
      <c r="AA349" s="355"/>
      <c r="AB349" s="355"/>
      <c r="AC349" s="355"/>
      <c r="AD349" s="355"/>
      <c r="AE349" s="355"/>
      <c r="AF349" s="355"/>
      <c r="AG349" s="355"/>
      <c r="AH349" s="355"/>
    </row>
    <row r="350" spans="1:34" x14ac:dyDescent="0.2">
      <c r="A350" s="355"/>
      <c r="B350" s="355"/>
      <c r="C350" s="355"/>
      <c r="D350" s="355"/>
      <c r="E350" s="355"/>
      <c r="F350" s="355"/>
      <c r="G350" s="355"/>
      <c r="H350" s="355"/>
      <c r="I350" s="355"/>
      <c r="J350" s="355"/>
      <c r="K350" s="598"/>
      <c r="L350" s="355"/>
      <c r="M350" s="355"/>
      <c r="N350" s="355"/>
      <c r="O350" s="355"/>
      <c r="R350" s="355"/>
      <c r="S350" s="355"/>
      <c r="T350" s="355"/>
      <c r="U350" s="355"/>
      <c r="V350" s="355"/>
      <c r="W350" s="355"/>
      <c r="X350" s="355"/>
      <c r="Y350" s="355"/>
      <c r="Z350" s="355"/>
      <c r="AA350" s="355"/>
      <c r="AB350" s="355"/>
      <c r="AC350" s="355"/>
      <c r="AD350" s="355"/>
      <c r="AE350" s="355"/>
      <c r="AF350" s="355"/>
      <c r="AG350" s="355"/>
      <c r="AH350" s="355"/>
    </row>
    <row r="351" spans="1:34" x14ac:dyDescent="0.2">
      <c r="A351" s="355"/>
      <c r="B351" s="355"/>
      <c r="C351" s="355"/>
      <c r="D351" s="355"/>
      <c r="E351" s="355"/>
      <c r="F351" s="355"/>
      <c r="G351" s="355"/>
      <c r="H351" s="355"/>
      <c r="I351" s="355"/>
      <c r="J351" s="355"/>
      <c r="K351" s="598"/>
      <c r="L351" s="355"/>
      <c r="M351" s="355"/>
      <c r="N351" s="355"/>
      <c r="O351" s="355"/>
      <c r="R351" s="355"/>
      <c r="S351" s="355"/>
      <c r="T351" s="355"/>
      <c r="U351" s="355"/>
      <c r="V351" s="355"/>
      <c r="W351" s="355"/>
      <c r="X351" s="355"/>
      <c r="Y351" s="355"/>
      <c r="Z351" s="355"/>
      <c r="AA351" s="355"/>
      <c r="AB351" s="355"/>
      <c r="AC351" s="355"/>
      <c r="AD351" s="355"/>
      <c r="AE351" s="355"/>
      <c r="AF351" s="355"/>
      <c r="AG351" s="355"/>
      <c r="AH351" s="355"/>
    </row>
    <row r="352" spans="1:34" x14ac:dyDescent="0.2">
      <c r="A352" s="355"/>
      <c r="B352" s="355"/>
      <c r="C352" s="355"/>
      <c r="D352" s="355"/>
      <c r="E352" s="355"/>
      <c r="F352" s="355"/>
      <c r="G352" s="355"/>
      <c r="H352" s="355"/>
      <c r="I352" s="355"/>
      <c r="J352" s="355"/>
      <c r="K352" s="598"/>
      <c r="L352" s="355"/>
      <c r="M352" s="355"/>
      <c r="N352" s="355"/>
      <c r="O352" s="355"/>
      <c r="R352" s="355"/>
      <c r="S352" s="355"/>
      <c r="T352" s="355"/>
      <c r="U352" s="355"/>
      <c r="V352" s="355"/>
      <c r="W352" s="355"/>
      <c r="X352" s="355"/>
      <c r="Y352" s="355"/>
      <c r="Z352" s="355"/>
      <c r="AA352" s="355"/>
      <c r="AB352" s="355"/>
      <c r="AC352" s="355"/>
      <c r="AD352" s="355"/>
      <c r="AE352" s="355"/>
      <c r="AF352" s="355"/>
      <c r="AG352" s="355"/>
      <c r="AH352" s="355"/>
    </row>
    <row r="353" spans="1:34" x14ac:dyDescent="0.2">
      <c r="A353" s="355"/>
      <c r="B353" s="355"/>
      <c r="C353" s="355"/>
      <c r="D353" s="355"/>
      <c r="E353" s="355"/>
      <c r="F353" s="355"/>
      <c r="G353" s="355"/>
      <c r="H353" s="355"/>
      <c r="I353" s="355"/>
      <c r="J353" s="355"/>
      <c r="K353" s="598"/>
      <c r="L353" s="355"/>
      <c r="M353" s="355"/>
      <c r="N353" s="355"/>
      <c r="O353" s="355"/>
      <c r="R353" s="355"/>
      <c r="S353" s="355"/>
      <c r="T353" s="355"/>
      <c r="U353" s="355"/>
      <c r="V353" s="355"/>
      <c r="W353" s="355"/>
      <c r="X353" s="355"/>
      <c r="Y353" s="355"/>
      <c r="Z353" s="355"/>
      <c r="AA353" s="355"/>
      <c r="AB353" s="355"/>
      <c r="AC353" s="355"/>
      <c r="AD353" s="355"/>
      <c r="AE353" s="355"/>
      <c r="AF353" s="355"/>
      <c r="AG353" s="355"/>
      <c r="AH353" s="355"/>
    </row>
    <row r="354" spans="1:34" x14ac:dyDescent="0.2">
      <c r="A354" s="355"/>
      <c r="B354" s="355"/>
      <c r="C354" s="355"/>
      <c r="D354" s="355"/>
      <c r="E354" s="355"/>
      <c r="F354" s="355"/>
      <c r="G354" s="355"/>
      <c r="H354" s="355"/>
      <c r="I354" s="355"/>
      <c r="J354" s="355"/>
      <c r="K354" s="598"/>
      <c r="L354" s="355"/>
      <c r="M354" s="355"/>
      <c r="N354" s="355"/>
      <c r="O354" s="355"/>
      <c r="R354" s="355"/>
      <c r="S354" s="355"/>
      <c r="T354" s="355"/>
      <c r="U354" s="355"/>
      <c r="V354" s="355"/>
      <c r="W354" s="355"/>
      <c r="X354" s="355"/>
      <c r="Y354" s="355"/>
      <c r="Z354" s="355"/>
      <c r="AA354" s="355"/>
      <c r="AB354" s="355"/>
      <c r="AC354" s="355"/>
      <c r="AD354" s="355"/>
      <c r="AE354" s="355"/>
      <c r="AF354" s="355"/>
      <c r="AG354" s="355"/>
      <c r="AH354" s="355"/>
    </row>
    <row r="355" spans="1:34" x14ac:dyDescent="0.2">
      <c r="A355" s="355"/>
      <c r="B355" s="355"/>
      <c r="C355" s="355"/>
      <c r="D355" s="355"/>
      <c r="E355" s="355"/>
      <c r="F355" s="355"/>
      <c r="G355" s="355"/>
      <c r="H355" s="355"/>
      <c r="I355" s="355"/>
      <c r="J355" s="355"/>
      <c r="K355" s="598"/>
      <c r="L355" s="355"/>
      <c r="M355" s="355"/>
      <c r="N355" s="355"/>
      <c r="O355" s="355"/>
      <c r="R355" s="355"/>
      <c r="S355" s="355"/>
      <c r="T355" s="355"/>
      <c r="U355" s="355"/>
      <c r="V355" s="355"/>
      <c r="W355" s="355"/>
      <c r="X355" s="355"/>
      <c r="Y355" s="355"/>
      <c r="Z355" s="355"/>
      <c r="AA355" s="355"/>
      <c r="AB355" s="355"/>
      <c r="AC355" s="355"/>
      <c r="AD355" s="355"/>
      <c r="AE355" s="355"/>
      <c r="AF355" s="355"/>
      <c r="AG355" s="355"/>
      <c r="AH355" s="355"/>
    </row>
    <row r="356" spans="1:34" x14ac:dyDescent="0.2">
      <c r="A356" s="355"/>
      <c r="B356" s="355"/>
      <c r="C356" s="355"/>
      <c r="D356" s="355"/>
      <c r="E356" s="355"/>
      <c r="F356" s="355"/>
      <c r="G356" s="355"/>
      <c r="H356" s="355"/>
      <c r="I356" s="355"/>
      <c r="J356" s="355"/>
      <c r="K356" s="598"/>
      <c r="L356" s="355"/>
      <c r="M356" s="355"/>
      <c r="N356" s="355"/>
      <c r="O356" s="355"/>
      <c r="R356" s="355"/>
      <c r="S356" s="355"/>
      <c r="T356" s="355"/>
      <c r="U356" s="355"/>
      <c r="V356" s="355"/>
      <c r="W356" s="355"/>
      <c r="X356" s="355"/>
      <c r="Y356" s="355"/>
      <c r="Z356" s="355"/>
      <c r="AA356" s="355"/>
      <c r="AB356" s="355"/>
      <c r="AC356" s="355"/>
      <c r="AD356" s="355"/>
      <c r="AE356" s="355"/>
      <c r="AF356" s="355"/>
      <c r="AG356" s="355"/>
      <c r="AH356" s="355"/>
    </row>
    <row r="357" spans="1:34" x14ac:dyDescent="0.2">
      <c r="A357" s="355"/>
      <c r="B357" s="355"/>
      <c r="C357" s="355"/>
      <c r="D357" s="355"/>
      <c r="E357" s="355"/>
      <c r="F357" s="355"/>
      <c r="G357" s="355"/>
      <c r="H357" s="355"/>
      <c r="I357" s="355"/>
      <c r="J357" s="355"/>
      <c r="K357" s="598"/>
      <c r="L357" s="355"/>
      <c r="M357" s="355"/>
      <c r="N357" s="355"/>
      <c r="O357" s="355"/>
      <c r="R357" s="355"/>
      <c r="S357" s="355"/>
      <c r="T357" s="355"/>
      <c r="U357" s="355"/>
      <c r="V357" s="355"/>
      <c r="W357" s="355"/>
      <c r="X357" s="355"/>
      <c r="Y357" s="355"/>
      <c r="Z357" s="355"/>
      <c r="AA357" s="355"/>
      <c r="AB357" s="355"/>
      <c r="AC357" s="355"/>
      <c r="AD357" s="355"/>
      <c r="AE357" s="355"/>
      <c r="AF357" s="355"/>
      <c r="AG357" s="355"/>
      <c r="AH357" s="355"/>
    </row>
    <row r="358" spans="1:34" x14ac:dyDescent="0.2">
      <c r="A358" s="355"/>
      <c r="B358" s="355"/>
      <c r="C358" s="355"/>
      <c r="D358" s="355"/>
      <c r="E358" s="355"/>
      <c r="F358" s="355"/>
      <c r="G358" s="355"/>
      <c r="H358" s="355"/>
      <c r="I358" s="355"/>
      <c r="J358" s="355"/>
      <c r="K358" s="598"/>
      <c r="L358" s="355"/>
      <c r="M358" s="355"/>
      <c r="N358" s="355"/>
      <c r="O358" s="355"/>
      <c r="R358" s="355"/>
      <c r="S358" s="355"/>
      <c r="T358" s="355"/>
      <c r="U358" s="355"/>
      <c r="V358" s="355"/>
      <c r="W358" s="355"/>
      <c r="X358" s="355"/>
      <c r="Y358" s="355"/>
      <c r="Z358" s="355"/>
      <c r="AA358" s="355"/>
      <c r="AB358" s="355"/>
      <c r="AC358" s="355"/>
      <c r="AD358" s="355"/>
      <c r="AE358" s="355"/>
      <c r="AF358" s="355"/>
      <c r="AG358" s="355"/>
      <c r="AH358" s="355"/>
    </row>
    <row r="359" spans="1:34" x14ac:dyDescent="0.2">
      <c r="A359" s="355"/>
      <c r="B359" s="355"/>
      <c r="C359" s="355"/>
      <c r="D359" s="355"/>
      <c r="E359" s="355"/>
      <c r="F359" s="355"/>
      <c r="G359" s="355"/>
      <c r="H359" s="355"/>
      <c r="I359" s="355"/>
      <c r="J359" s="355"/>
      <c r="K359" s="598"/>
      <c r="L359" s="355"/>
      <c r="M359" s="355"/>
      <c r="N359" s="355"/>
      <c r="O359" s="355"/>
      <c r="R359" s="355"/>
      <c r="S359" s="355"/>
      <c r="T359" s="355"/>
      <c r="U359" s="355"/>
      <c r="V359" s="355"/>
      <c r="W359" s="355"/>
      <c r="X359" s="355"/>
      <c r="Y359" s="355"/>
      <c r="Z359" s="355"/>
      <c r="AA359" s="355"/>
      <c r="AB359" s="355"/>
      <c r="AC359" s="355"/>
      <c r="AD359" s="355"/>
      <c r="AE359" s="355"/>
      <c r="AF359" s="355"/>
      <c r="AG359" s="355"/>
      <c r="AH359" s="355"/>
    </row>
    <row r="360" spans="1:34" x14ac:dyDescent="0.2">
      <c r="A360" s="355"/>
      <c r="B360" s="355"/>
      <c r="C360" s="355"/>
      <c r="D360" s="355"/>
      <c r="E360" s="355"/>
      <c r="F360" s="355"/>
      <c r="G360" s="355"/>
      <c r="H360" s="355"/>
      <c r="I360" s="355"/>
      <c r="J360" s="355"/>
      <c r="K360" s="598"/>
      <c r="L360" s="355"/>
      <c r="M360" s="355"/>
      <c r="N360" s="355"/>
      <c r="O360" s="355"/>
      <c r="R360" s="355"/>
      <c r="S360" s="355"/>
      <c r="T360" s="355"/>
      <c r="U360" s="355"/>
      <c r="V360" s="355"/>
      <c r="W360" s="355"/>
      <c r="X360" s="355"/>
      <c r="Y360" s="355"/>
      <c r="Z360" s="355"/>
      <c r="AA360" s="355"/>
      <c r="AB360" s="355"/>
      <c r="AC360" s="355"/>
      <c r="AD360" s="355"/>
      <c r="AE360" s="355"/>
      <c r="AF360" s="355"/>
      <c r="AG360" s="355"/>
      <c r="AH360" s="355"/>
    </row>
    <row r="361" spans="1:34" x14ac:dyDescent="0.2">
      <c r="A361" s="355"/>
      <c r="B361" s="355"/>
      <c r="C361" s="355"/>
      <c r="D361" s="355"/>
      <c r="E361" s="355"/>
      <c r="F361" s="355"/>
      <c r="G361" s="355"/>
      <c r="H361" s="355"/>
      <c r="I361" s="355"/>
      <c r="J361" s="355"/>
      <c r="K361" s="598"/>
      <c r="L361" s="355"/>
      <c r="M361" s="355"/>
      <c r="N361" s="355"/>
      <c r="O361" s="355"/>
      <c r="R361" s="355"/>
      <c r="S361" s="355"/>
      <c r="T361" s="355"/>
      <c r="U361" s="355"/>
      <c r="V361" s="355"/>
      <c r="W361" s="355"/>
      <c r="X361" s="355"/>
      <c r="Y361" s="355"/>
      <c r="Z361" s="355"/>
      <c r="AA361" s="355"/>
      <c r="AB361" s="355"/>
      <c r="AC361" s="355"/>
      <c r="AD361" s="355"/>
      <c r="AE361" s="355"/>
      <c r="AF361" s="355"/>
      <c r="AG361" s="355"/>
      <c r="AH361" s="355"/>
    </row>
    <row r="362" spans="1:34" x14ac:dyDescent="0.2">
      <c r="A362" s="355"/>
      <c r="B362" s="355"/>
      <c r="C362" s="355"/>
      <c r="D362" s="355"/>
      <c r="E362" s="355"/>
      <c r="F362" s="355"/>
      <c r="G362" s="355"/>
      <c r="H362" s="355"/>
      <c r="I362" s="355"/>
      <c r="J362" s="355"/>
      <c r="K362" s="598"/>
      <c r="L362" s="355"/>
      <c r="M362" s="355"/>
      <c r="N362" s="355"/>
      <c r="O362" s="355"/>
      <c r="R362" s="355"/>
      <c r="S362" s="355"/>
      <c r="T362" s="355"/>
      <c r="U362" s="355"/>
      <c r="V362" s="355"/>
      <c r="W362" s="355"/>
      <c r="X362" s="355"/>
      <c r="Y362" s="355"/>
      <c r="Z362" s="355"/>
      <c r="AA362" s="355"/>
      <c r="AB362" s="355"/>
      <c r="AC362" s="355"/>
      <c r="AD362" s="355"/>
      <c r="AE362" s="355"/>
      <c r="AF362" s="355"/>
      <c r="AG362" s="355"/>
      <c r="AH362" s="355"/>
    </row>
    <row r="363" spans="1:34" x14ac:dyDescent="0.2">
      <c r="A363" s="355"/>
      <c r="B363" s="355"/>
      <c r="C363" s="355"/>
      <c r="D363" s="355"/>
      <c r="E363" s="355"/>
      <c r="F363" s="355"/>
      <c r="G363" s="355"/>
      <c r="H363" s="355"/>
      <c r="I363" s="355"/>
      <c r="J363" s="355"/>
      <c r="K363" s="598"/>
      <c r="L363" s="355"/>
      <c r="M363" s="355"/>
      <c r="N363" s="355"/>
      <c r="O363" s="355"/>
      <c r="R363" s="355"/>
      <c r="S363" s="355"/>
      <c r="T363" s="355"/>
      <c r="U363" s="355"/>
      <c r="V363" s="355"/>
      <c r="W363" s="355"/>
      <c r="X363" s="355"/>
      <c r="Y363" s="355"/>
      <c r="Z363" s="355"/>
      <c r="AA363" s="355"/>
      <c r="AB363" s="355"/>
      <c r="AC363" s="355"/>
      <c r="AD363" s="355"/>
      <c r="AE363" s="355"/>
      <c r="AF363" s="355"/>
      <c r="AG363" s="355"/>
      <c r="AH363" s="355"/>
    </row>
    <row r="364" spans="1:34" x14ac:dyDescent="0.2">
      <c r="A364" s="355"/>
      <c r="B364" s="355"/>
      <c r="C364" s="355"/>
      <c r="D364" s="355"/>
      <c r="E364" s="355"/>
      <c r="F364" s="355"/>
      <c r="G364" s="355"/>
      <c r="H364" s="355"/>
      <c r="I364" s="355"/>
      <c r="J364" s="355"/>
      <c r="K364" s="598"/>
      <c r="L364" s="355"/>
      <c r="M364" s="355"/>
      <c r="N364" s="355"/>
      <c r="O364" s="355"/>
      <c r="R364" s="355"/>
      <c r="S364" s="355"/>
      <c r="T364" s="355"/>
      <c r="U364" s="355"/>
      <c r="V364" s="355"/>
      <c r="W364" s="355"/>
      <c r="X364" s="355"/>
      <c r="Y364" s="355"/>
      <c r="Z364" s="355"/>
      <c r="AA364" s="355"/>
      <c r="AB364" s="355"/>
      <c r="AC364" s="355"/>
      <c r="AD364" s="355"/>
      <c r="AE364" s="355"/>
      <c r="AF364" s="355"/>
      <c r="AG364" s="355"/>
      <c r="AH364" s="355"/>
    </row>
    <row r="365" spans="1:34" x14ac:dyDescent="0.2">
      <c r="A365" s="355"/>
      <c r="B365" s="355"/>
      <c r="C365" s="355"/>
      <c r="D365" s="355"/>
      <c r="E365" s="355"/>
      <c r="F365" s="355"/>
      <c r="G365" s="355"/>
      <c r="H365" s="355"/>
      <c r="I365" s="355"/>
      <c r="J365" s="355"/>
      <c r="K365" s="598"/>
      <c r="L365" s="355"/>
      <c r="M365" s="355"/>
      <c r="N365" s="355"/>
      <c r="O365" s="355"/>
      <c r="R365" s="355"/>
      <c r="S365" s="355"/>
      <c r="T365" s="355"/>
      <c r="U365" s="355"/>
      <c r="V365" s="355"/>
      <c r="W365" s="355"/>
      <c r="X365" s="355"/>
      <c r="Y365" s="355"/>
      <c r="Z365" s="355"/>
      <c r="AA365" s="355"/>
      <c r="AB365" s="355"/>
      <c r="AC365" s="355"/>
      <c r="AD365" s="355"/>
      <c r="AE365" s="355"/>
      <c r="AF365" s="355"/>
      <c r="AG365" s="355"/>
      <c r="AH365" s="355"/>
    </row>
    <row r="366" spans="1:34" x14ac:dyDescent="0.2">
      <c r="A366" s="355"/>
      <c r="B366" s="355"/>
      <c r="C366" s="355"/>
      <c r="D366" s="355"/>
      <c r="E366" s="355"/>
      <c r="F366" s="355"/>
      <c r="G366" s="355"/>
      <c r="H366" s="355"/>
      <c r="I366" s="355"/>
      <c r="J366" s="355"/>
      <c r="K366" s="598"/>
      <c r="L366" s="355"/>
      <c r="M366" s="355"/>
      <c r="N366" s="355"/>
      <c r="O366" s="355"/>
      <c r="R366" s="355"/>
      <c r="S366" s="355"/>
      <c r="T366" s="355"/>
      <c r="U366" s="355"/>
      <c r="V366" s="355"/>
      <c r="W366" s="355"/>
      <c r="X366" s="355"/>
      <c r="Y366" s="355"/>
      <c r="Z366" s="355"/>
      <c r="AA366" s="355"/>
      <c r="AB366" s="355"/>
      <c r="AC366" s="355"/>
      <c r="AD366" s="355"/>
      <c r="AE366" s="355"/>
      <c r="AF366" s="355"/>
      <c r="AG366" s="355"/>
      <c r="AH366" s="355"/>
    </row>
    <row r="367" spans="1:34" x14ac:dyDescent="0.2">
      <c r="A367" s="355"/>
      <c r="B367" s="355"/>
      <c r="C367" s="355"/>
      <c r="D367" s="355"/>
      <c r="E367" s="355"/>
      <c r="F367" s="355"/>
      <c r="G367" s="355"/>
      <c r="H367" s="355"/>
      <c r="I367" s="355"/>
      <c r="J367" s="355"/>
      <c r="K367" s="598"/>
      <c r="L367" s="355"/>
      <c r="M367" s="355"/>
      <c r="N367" s="355"/>
      <c r="O367" s="355"/>
      <c r="R367" s="355"/>
      <c r="S367" s="355"/>
      <c r="T367" s="355"/>
      <c r="U367" s="355"/>
      <c r="V367" s="355"/>
      <c r="W367" s="355"/>
      <c r="X367" s="355"/>
      <c r="Y367" s="355"/>
      <c r="Z367" s="355"/>
      <c r="AA367" s="355"/>
      <c r="AB367" s="355"/>
      <c r="AC367" s="355"/>
      <c r="AD367" s="355"/>
      <c r="AE367" s="355"/>
      <c r="AF367" s="355"/>
      <c r="AG367" s="355"/>
      <c r="AH367" s="355"/>
    </row>
    <row r="368" spans="1:34" x14ac:dyDescent="0.2">
      <c r="A368" s="355"/>
      <c r="B368" s="355"/>
      <c r="C368" s="355"/>
      <c r="D368" s="355"/>
      <c r="E368" s="355"/>
      <c r="F368" s="355"/>
      <c r="G368" s="355"/>
      <c r="H368" s="355"/>
      <c r="I368" s="355"/>
      <c r="J368" s="355"/>
      <c r="K368" s="598"/>
      <c r="L368" s="355"/>
      <c r="M368" s="355"/>
      <c r="N368" s="355"/>
      <c r="O368" s="355"/>
      <c r="R368" s="355"/>
      <c r="S368" s="355"/>
      <c r="T368" s="355"/>
      <c r="U368" s="355"/>
      <c r="V368" s="355"/>
      <c r="W368" s="355"/>
      <c r="X368" s="355"/>
      <c r="Y368" s="355"/>
      <c r="Z368" s="355"/>
      <c r="AA368" s="355"/>
      <c r="AB368" s="355"/>
      <c r="AC368" s="355"/>
      <c r="AD368" s="355"/>
      <c r="AE368" s="355"/>
      <c r="AF368" s="355"/>
      <c r="AG368" s="355"/>
      <c r="AH368" s="355"/>
    </row>
    <row r="369" spans="1:34" x14ac:dyDescent="0.2">
      <c r="A369" s="355"/>
      <c r="B369" s="355"/>
      <c r="C369" s="355"/>
      <c r="D369" s="355"/>
      <c r="E369" s="355"/>
      <c r="F369" s="355"/>
      <c r="G369" s="355"/>
      <c r="H369" s="355"/>
      <c r="I369" s="355"/>
      <c r="J369" s="355"/>
      <c r="K369" s="598"/>
      <c r="L369" s="355"/>
      <c r="M369" s="355"/>
      <c r="N369" s="355"/>
      <c r="O369" s="355"/>
      <c r="R369" s="355"/>
      <c r="S369" s="355"/>
      <c r="T369" s="355"/>
      <c r="U369" s="355"/>
      <c r="V369" s="355"/>
      <c r="W369" s="355"/>
      <c r="X369" s="355"/>
      <c r="Y369" s="355"/>
      <c r="Z369" s="355"/>
      <c r="AA369" s="355"/>
      <c r="AB369" s="355"/>
      <c r="AC369" s="355"/>
      <c r="AD369" s="355"/>
      <c r="AE369" s="355"/>
      <c r="AF369" s="355"/>
      <c r="AG369" s="355"/>
      <c r="AH369" s="355"/>
    </row>
    <row r="370" spans="1:34" x14ac:dyDescent="0.2">
      <c r="A370" s="355"/>
      <c r="B370" s="355"/>
      <c r="C370" s="355"/>
      <c r="D370" s="355"/>
      <c r="E370" s="355"/>
      <c r="F370" s="355"/>
      <c r="G370" s="355"/>
      <c r="H370" s="355"/>
      <c r="I370" s="355"/>
      <c r="J370" s="355"/>
      <c r="K370" s="598"/>
      <c r="L370" s="355"/>
      <c r="M370" s="355"/>
      <c r="N370" s="355"/>
      <c r="O370" s="355"/>
      <c r="R370" s="355"/>
      <c r="S370" s="355"/>
      <c r="T370" s="355"/>
      <c r="U370" s="355"/>
      <c r="V370" s="355"/>
      <c r="W370" s="355"/>
      <c r="X370" s="355"/>
      <c r="Y370" s="355"/>
      <c r="Z370" s="355"/>
      <c r="AA370" s="355"/>
      <c r="AB370" s="355"/>
      <c r="AC370" s="355"/>
      <c r="AD370" s="355"/>
      <c r="AE370" s="355"/>
      <c r="AF370" s="355"/>
      <c r="AG370" s="355"/>
      <c r="AH370" s="355"/>
    </row>
    <row r="371" spans="1:34" x14ac:dyDescent="0.2">
      <c r="A371" s="355"/>
      <c r="B371" s="355"/>
      <c r="C371" s="355"/>
      <c r="D371" s="355"/>
      <c r="E371" s="355"/>
      <c r="F371" s="355"/>
      <c r="G371" s="355"/>
      <c r="H371" s="355"/>
      <c r="I371" s="355"/>
      <c r="J371" s="355"/>
      <c r="K371" s="598"/>
      <c r="L371" s="355"/>
      <c r="M371" s="355"/>
      <c r="N371" s="355"/>
      <c r="O371" s="355"/>
      <c r="R371" s="355"/>
      <c r="S371" s="355"/>
      <c r="T371" s="355"/>
      <c r="U371" s="355"/>
      <c r="V371" s="355"/>
      <c r="W371" s="355"/>
      <c r="X371" s="355"/>
      <c r="Y371" s="355"/>
      <c r="Z371" s="355"/>
      <c r="AA371" s="355"/>
      <c r="AB371" s="355"/>
      <c r="AC371" s="355"/>
      <c r="AD371" s="355"/>
      <c r="AE371" s="355"/>
      <c r="AF371" s="355"/>
      <c r="AG371" s="355"/>
      <c r="AH371" s="355"/>
    </row>
    <row r="372" spans="1:34" x14ac:dyDescent="0.2">
      <c r="A372" s="355"/>
      <c r="B372" s="355"/>
      <c r="C372" s="355"/>
      <c r="D372" s="355"/>
      <c r="E372" s="355"/>
      <c r="F372" s="355"/>
      <c r="G372" s="355"/>
      <c r="H372" s="355"/>
      <c r="I372" s="355"/>
      <c r="J372" s="355"/>
      <c r="K372" s="598"/>
      <c r="L372" s="355"/>
      <c r="M372" s="355"/>
      <c r="N372" s="355"/>
      <c r="O372" s="355"/>
      <c r="R372" s="355"/>
      <c r="S372" s="355"/>
      <c r="T372" s="355"/>
      <c r="U372" s="355"/>
      <c r="V372" s="355"/>
      <c r="W372" s="355"/>
      <c r="X372" s="355"/>
      <c r="Y372" s="355"/>
      <c r="Z372" s="355"/>
      <c r="AA372" s="355"/>
      <c r="AB372" s="355"/>
      <c r="AC372" s="355"/>
      <c r="AD372" s="355"/>
      <c r="AE372" s="355"/>
      <c r="AF372" s="355"/>
      <c r="AG372" s="355"/>
      <c r="AH372" s="355"/>
    </row>
    <row r="373" spans="1:34" x14ac:dyDescent="0.2">
      <c r="A373" s="355"/>
      <c r="B373" s="355"/>
      <c r="C373" s="355"/>
      <c r="D373" s="355"/>
      <c r="E373" s="355"/>
      <c r="F373" s="355"/>
      <c r="G373" s="355"/>
      <c r="H373" s="355"/>
      <c r="I373" s="355"/>
      <c r="J373" s="355"/>
      <c r="K373" s="598"/>
      <c r="L373" s="355"/>
      <c r="M373" s="355"/>
      <c r="N373" s="355"/>
      <c r="O373" s="355"/>
      <c r="R373" s="355"/>
      <c r="S373" s="355"/>
      <c r="T373" s="355"/>
      <c r="U373" s="355"/>
      <c r="V373" s="355"/>
      <c r="W373" s="355"/>
      <c r="X373" s="355"/>
      <c r="Y373" s="355"/>
      <c r="Z373" s="355"/>
      <c r="AA373" s="355"/>
      <c r="AB373" s="355"/>
      <c r="AC373" s="355"/>
      <c r="AD373" s="355"/>
      <c r="AE373" s="355"/>
      <c r="AF373" s="355"/>
      <c r="AG373" s="355"/>
      <c r="AH373" s="355"/>
    </row>
    <row r="374" spans="1:34" x14ac:dyDescent="0.2">
      <c r="A374" s="355"/>
      <c r="B374" s="355"/>
      <c r="C374" s="355"/>
      <c r="D374" s="355"/>
      <c r="E374" s="355"/>
      <c r="F374" s="355"/>
      <c r="G374" s="355"/>
      <c r="H374" s="355"/>
      <c r="I374" s="355"/>
      <c r="J374" s="355"/>
      <c r="K374" s="598"/>
      <c r="L374" s="355"/>
      <c r="M374" s="355"/>
      <c r="N374" s="355"/>
      <c r="O374" s="355"/>
      <c r="R374" s="355"/>
      <c r="S374" s="355"/>
      <c r="T374" s="355"/>
      <c r="U374" s="355"/>
      <c r="V374" s="355"/>
      <c r="W374" s="355"/>
      <c r="X374" s="355"/>
      <c r="Y374" s="355"/>
      <c r="Z374" s="355"/>
      <c r="AA374" s="355"/>
      <c r="AB374" s="355"/>
      <c r="AC374" s="355"/>
      <c r="AD374" s="355"/>
      <c r="AE374" s="355"/>
      <c r="AF374" s="355"/>
      <c r="AG374" s="355"/>
      <c r="AH374" s="355"/>
    </row>
    <row r="375" spans="1:34" x14ac:dyDescent="0.2">
      <c r="A375" s="355"/>
      <c r="B375" s="355"/>
      <c r="C375" s="355"/>
      <c r="D375" s="355"/>
      <c r="E375" s="355"/>
      <c r="F375" s="355"/>
      <c r="G375" s="355"/>
      <c r="H375" s="355"/>
      <c r="I375" s="355"/>
      <c r="J375" s="355"/>
      <c r="K375" s="598"/>
      <c r="L375" s="355"/>
      <c r="M375" s="355"/>
      <c r="N375" s="355"/>
      <c r="O375" s="355"/>
      <c r="R375" s="355"/>
      <c r="S375" s="355"/>
      <c r="T375" s="355"/>
      <c r="U375" s="355"/>
      <c r="V375" s="355"/>
      <c r="W375" s="355"/>
      <c r="X375" s="355"/>
      <c r="Y375" s="355"/>
      <c r="Z375" s="355"/>
      <c r="AA375" s="355"/>
      <c r="AB375" s="355"/>
      <c r="AC375" s="355"/>
      <c r="AD375" s="355"/>
      <c r="AE375" s="355"/>
      <c r="AF375" s="355"/>
      <c r="AG375" s="355"/>
      <c r="AH375" s="355"/>
    </row>
    <row r="376" spans="1:34" x14ac:dyDescent="0.2">
      <c r="A376" s="355"/>
      <c r="B376" s="355"/>
      <c r="C376" s="355"/>
      <c r="D376" s="355"/>
      <c r="E376" s="355"/>
      <c r="F376" s="355"/>
      <c r="G376" s="355"/>
      <c r="H376" s="355"/>
      <c r="I376" s="355"/>
      <c r="J376" s="355"/>
      <c r="K376" s="598"/>
      <c r="L376" s="355"/>
      <c r="M376" s="355"/>
      <c r="N376" s="355"/>
      <c r="O376" s="355"/>
      <c r="R376" s="355"/>
      <c r="S376" s="355"/>
      <c r="T376" s="355"/>
      <c r="U376" s="355"/>
      <c r="V376" s="355"/>
      <c r="W376" s="355"/>
      <c r="X376" s="355"/>
      <c r="Y376" s="355"/>
      <c r="Z376" s="355"/>
      <c r="AA376" s="355"/>
      <c r="AB376" s="355"/>
      <c r="AC376" s="355"/>
      <c r="AD376" s="355"/>
      <c r="AE376" s="355"/>
      <c r="AF376" s="355"/>
      <c r="AG376" s="355"/>
      <c r="AH376" s="355"/>
    </row>
    <row r="377" spans="1:34" x14ac:dyDescent="0.2">
      <c r="A377" s="355"/>
      <c r="B377" s="355"/>
      <c r="C377" s="355"/>
      <c r="D377" s="355"/>
      <c r="E377" s="355"/>
      <c r="F377" s="355"/>
      <c r="G377" s="355"/>
      <c r="H377" s="355"/>
      <c r="I377" s="355"/>
      <c r="J377" s="355"/>
      <c r="K377" s="598"/>
      <c r="L377" s="355"/>
      <c r="M377" s="355"/>
      <c r="N377" s="355"/>
      <c r="O377" s="355"/>
      <c r="R377" s="355"/>
      <c r="S377" s="355"/>
      <c r="T377" s="355"/>
      <c r="U377" s="355"/>
      <c r="V377" s="355"/>
      <c r="W377" s="355"/>
      <c r="X377" s="355"/>
      <c r="Y377" s="355"/>
      <c r="Z377" s="355"/>
      <c r="AA377" s="355"/>
      <c r="AB377" s="355"/>
      <c r="AC377" s="355"/>
      <c r="AD377" s="355"/>
      <c r="AE377" s="355"/>
      <c r="AF377" s="355"/>
      <c r="AG377" s="355"/>
      <c r="AH377" s="355"/>
    </row>
    <row r="378" spans="1:34" x14ac:dyDescent="0.2">
      <c r="A378" s="355"/>
      <c r="B378" s="355"/>
      <c r="C378" s="355"/>
      <c r="D378" s="355"/>
      <c r="E378" s="355"/>
      <c r="F378" s="355"/>
      <c r="G378" s="355"/>
      <c r="H378" s="355"/>
      <c r="I378" s="355"/>
      <c r="J378" s="355"/>
      <c r="K378" s="598"/>
      <c r="L378" s="355"/>
      <c r="M378" s="355"/>
      <c r="N378" s="355"/>
      <c r="O378" s="355"/>
      <c r="R378" s="355"/>
      <c r="S378" s="355"/>
      <c r="T378" s="355"/>
      <c r="U378" s="355"/>
      <c r="V378" s="355"/>
      <c r="W378" s="355"/>
      <c r="X378" s="355"/>
      <c r="Y378" s="355"/>
      <c r="Z378" s="355"/>
      <c r="AA378" s="355"/>
      <c r="AB378" s="355"/>
      <c r="AC378" s="355"/>
      <c r="AD378" s="355"/>
      <c r="AE378" s="355"/>
      <c r="AF378" s="355"/>
      <c r="AG378" s="355"/>
      <c r="AH378" s="355"/>
    </row>
    <row r="379" spans="1:34" x14ac:dyDescent="0.2">
      <c r="A379" s="355"/>
      <c r="B379" s="355"/>
      <c r="C379" s="355"/>
      <c r="D379" s="355"/>
      <c r="E379" s="355"/>
      <c r="F379" s="355"/>
      <c r="G379" s="355"/>
      <c r="H379" s="355"/>
      <c r="I379" s="355"/>
      <c r="J379" s="355"/>
      <c r="K379" s="598"/>
      <c r="L379" s="355"/>
      <c r="M379" s="355"/>
      <c r="N379" s="355"/>
      <c r="O379" s="355"/>
      <c r="R379" s="355"/>
      <c r="S379" s="355"/>
      <c r="T379" s="355"/>
      <c r="U379" s="355"/>
      <c r="V379" s="355"/>
      <c r="W379" s="355"/>
      <c r="X379" s="355"/>
      <c r="Y379" s="355"/>
      <c r="Z379" s="355"/>
      <c r="AA379" s="355"/>
      <c r="AB379" s="355"/>
      <c r="AC379" s="355"/>
      <c r="AD379" s="355"/>
      <c r="AE379" s="355"/>
      <c r="AF379" s="355"/>
      <c r="AG379" s="355"/>
      <c r="AH379" s="355"/>
    </row>
    <row r="380" spans="1:34" x14ac:dyDescent="0.2">
      <c r="A380" s="355"/>
      <c r="B380" s="355"/>
      <c r="C380" s="355"/>
      <c r="D380" s="355"/>
      <c r="E380" s="355"/>
      <c r="F380" s="355"/>
      <c r="G380" s="355"/>
      <c r="H380" s="355"/>
      <c r="I380" s="355"/>
      <c r="J380" s="355"/>
      <c r="K380" s="598"/>
      <c r="L380" s="355"/>
      <c r="M380" s="355"/>
      <c r="N380" s="355"/>
      <c r="O380" s="355"/>
      <c r="R380" s="355"/>
      <c r="S380" s="355"/>
      <c r="T380" s="355"/>
      <c r="U380" s="355"/>
      <c r="V380" s="355"/>
      <c r="W380" s="355"/>
      <c r="X380" s="355"/>
      <c r="Y380" s="355"/>
      <c r="Z380" s="355"/>
      <c r="AA380" s="355"/>
      <c r="AB380" s="355"/>
      <c r="AC380" s="355"/>
      <c r="AD380" s="355"/>
      <c r="AE380" s="355"/>
      <c r="AF380" s="355"/>
      <c r="AG380" s="355"/>
      <c r="AH380" s="355"/>
    </row>
    <row r="381" spans="1:34" x14ac:dyDescent="0.2">
      <c r="A381" s="355"/>
      <c r="B381" s="355"/>
      <c r="C381" s="355"/>
      <c r="D381" s="355"/>
      <c r="E381" s="355"/>
      <c r="F381" s="355"/>
      <c r="G381" s="355"/>
      <c r="H381" s="355"/>
      <c r="I381" s="355"/>
      <c r="J381" s="355"/>
      <c r="K381" s="598"/>
      <c r="L381" s="355"/>
      <c r="M381" s="355"/>
      <c r="N381" s="355"/>
      <c r="O381" s="355"/>
      <c r="R381" s="355"/>
      <c r="S381" s="355"/>
      <c r="T381" s="355"/>
      <c r="U381" s="355"/>
      <c r="V381" s="355"/>
      <c r="W381" s="355"/>
      <c r="X381" s="355"/>
      <c r="Y381" s="355"/>
      <c r="Z381" s="355"/>
      <c r="AA381" s="355"/>
      <c r="AB381" s="355"/>
      <c r="AC381" s="355"/>
      <c r="AD381" s="355"/>
      <c r="AE381" s="355"/>
      <c r="AF381" s="355"/>
      <c r="AG381" s="355"/>
      <c r="AH381" s="355"/>
    </row>
    <row r="382" spans="1:34" x14ac:dyDescent="0.2">
      <c r="A382" s="355"/>
      <c r="B382" s="355"/>
      <c r="C382" s="355"/>
      <c r="D382" s="355"/>
      <c r="E382" s="355"/>
      <c r="F382" s="355"/>
      <c r="G382" s="355"/>
      <c r="H382" s="355"/>
      <c r="I382" s="355"/>
      <c r="J382" s="355"/>
      <c r="K382" s="598"/>
      <c r="L382" s="355"/>
      <c r="M382" s="355"/>
      <c r="N382" s="355"/>
      <c r="O382" s="355"/>
      <c r="R382" s="355"/>
      <c r="S382" s="355"/>
      <c r="T382" s="355"/>
      <c r="U382" s="355"/>
      <c r="V382" s="355"/>
      <c r="W382" s="355"/>
      <c r="X382" s="355"/>
      <c r="Y382" s="355"/>
      <c r="Z382" s="355"/>
      <c r="AA382" s="355"/>
      <c r="AB382" s="355"/>
      <c r="AC382" s="355"/>
      <c r="AD382" s="355"/>
      <c r="AE382" s="355"/>
      <c r="AF382" s="355"/>
      <c r="AG382" s="355"/>
      <c r="AH382" s="355"/>
    </row>
    <row r="383" spans="1:34" x14ac:dyDescent="0.2">
      <c r="A383" s="355"/>
      <c r="B383" s="355"/>
      <c r="C383" s="355"/>
      <c r="D383" s="355"/>
      <c r="E383" s="355"/>
      <c r="F383" s="355"/>
      <c r="G383" s="355"/>
      <c r="H383" s="355"/>
      <c r="I383" s="355"/>
      <c r="J383" s="355"/>
      <c r="K383" s="598"/>
      <c r="L383" s="355"/>
      <c r="M383" s="355"/>
      <c r="N383" s="355"/>
      <c r="O383" s="355"/>
      <c r="R383" s="355"/>
      <c r="S383" s="355"/>
      <c r="T383" s="355"/>
      <c r="U383" s="355"/>
      <c r="V383" s="355"/>
      <c r="W383" s="355"/>
      <c r="X383" s="355"/>
      <c r="Y383" s="355"/>
      <c r="Z383" s="355"/>
      <c r="AA383" s="355"/>
      <c r="AB383" s="355"/>
      <c r="AC383" s="355"/>
      <c r="AD383" s="355"/>
      <c r="AE383" s="355"/>
      <c r="AF383" s="355"/>
      <c r="AG383" s="355"/>
      <c r="AH383" s="355"/>
    </row>
    <row r="384" spans="1:34" x14ac:dyDescent="0.2">
      <c r="A384" s="355"/>
      <c r="B384" s="355"/>
      <c r="C384" s="355"/>
      <c r="D384" s="355"/>
      <c r="E384" s="355"/>
      <c r="F384" s="355"/>
      <c r="G384" s="355"/>
      <c r="H384" s="355"/>
      <c r="I384" s="355"/>
      <c r="J384" s="355"/>
      <c r="K384" s="598"/>
      <c r="L384" s="355"/>
      <c r="M384" s="355"/>
      <c r="N384" s="355"/>
      <c r="O384" s="355"/>
      <c r="R384" s="355"/>
      <c r="S384" s="355"/>
      <c r="T384" s="355"/>
      <c r="U384" s="355"/>
      <c r="V384" s="355"/>
      <c r="W384" s="355"/>
      <c r="X384" s="355"/>
      <c r="Y384" s="355"/>
      <c r="Z384" s="355"/>
      <c r="AA384" s="355"/>
      <c r="AB384" s="355"/>
      <c r="AC384" s="355"/>
      <c r="AD384" s="355"/>
      <c r="AE384" s="355"/>
      <c r="AF384" s="355"/>
      <c r="AG384" s="355"/>
      <c r="AH384" s="355"/>
    </row>
    <row r="385" spans="1:34" x14ac:dyDescent="0.2">
      <c r="A385" s="355"/>
      <c r="B385" s="355"/>
      <c r="C385" s="355"/>
      <c r="D385" s="355"/>
      <c r="E385" s="355"/>
      <c r="F385" s="355"/>
      <c r="G385" s="355"/>
      <c r="H385" s="355"/>
      <c r="I385" s="355"/>
      <c r="J385" s="355"/>
      <c r="K385" s="598"/>
      <c r="L385" s="355"/>
      <c r="M385" s="355"/>
      <c r="N385" s="355"/>
      <c r="O385" s="355"/>
      <c r="R385" s="355"/>
      <c r="S385" s="355"/>
      <c r="T385" s="355"/>
      <c r="U385" s="355"/>
      <c r="V385" s="355"/>
      <c r="W385" s="355"/>
      <c r="X385" s="355"/>
      <c r="Y385" s="355"/>
      <c r="Z385" s="355"/>
      <c r="AA385" s="355"/>
      <c r="AB385" s="355"/>
      <c r="AC385" s="355"/>
      <c r="AD385" s="355"/>
      <c r="AE385" s="355"/>
      <c r="AF385" s="355"/>
      <c r="AG385" s="355"/>
      <c r="AH385" s="355"/>
    </row>
    <row r="386" spans="1:34" x14ac:dyDescent="0.2">
      <c r="A386" s="355"/>
      <c r="B386" s="355"/>
      <c r="C386" s="355"/>
      <c r="D386" s="355"/>
      <c r="E386" s="355"/>
      <c r="F386" s="355"/>
      <c r="G386" s="355"/>
      <c r="H386" s="355"/>
      <c r="I386" s="355"/>
      <c r="J386" s="355"/>
      <c r="K386" s="598"/>
      <c r="L386" s="355"/>
      <c r="M386" s="355"/>
      <c r="N386" s="355"/>
      <c r="O386" s="355"/>
      <c r="R386" s="355"/>
      <c r="S386" s="355"/>
      <c r="T386" s="355"/>
      <c r="U386" s="355"/>
      <c r="V386" s="355"/>
      <c r="W386" s="355"/>
      <c r="X386" s="355"/>
      <c r="Y386" s="355"/>
      <c r="Z386" s="355"/>
      <c r="AA386" s="355"/>
      <c r="AB386" s="355"/>
      <c r="AC386" s="355"/>
      <c r="AD386" s="355"/>
      <c r="AE386" s="355"/>
      <c r="AF386" s="355"/>
      <c r="AG386" s="355"/>
      <c r="AH386" s="355"/>
    </row>
    <row r="387" spans="1:34" x14ac:dyDescent="0.2">
      <c r="A387" s="355"/>
      <c r="B387" s="355"/>
      <c r="C387" s="355"/>
      <c r="D387" s="355"/>
      <c r="E387" s="355"/>
      <c r="F387" s="355"/>
      <c r="G387" s="355"/>
      <c r="H387" s="355"/>
      <c r="I387" s="355"/>
      <c r="J387" s="355"/>
      <c r="K387" s="598"/>
      <c r="L387" s="355"/>
      <c r="M387" s="355"/>
      <c r="N387" s="355"/>
      <c r="O387" s="355"/>
      <c r="R387" s="355"/>
      <c r="S387" s="355"/>
      <c r="T387" s="355"/>
      <c r="U387" s="355"/>
      <c r="V387" s="355"/>
      <c r="W387" s="355"/>
      <c r="X387" s="355"/>
      <c r="Y387" s="355"/>
      <c r="Z387" s="355"/>
      <c r="AA387" s="355"/>
      <c r="AB387" s="355"/>
      <c r="AC387" s="355"/>
      <c r="AD387" s="355"/>
      <c r="AE387" s="355"/>
      <c r="AF387" s="355"/>
      <c r="AG387" s="355"/>
      <c r="AH387" s="355"/>
    </row>
    <row r="388" spans="1:34" x14ac:dyDescent="0.2">
      <c r="A388" s="355"/>
      <c r="B388" s="355"/>
      <c r="C388" s="355"/>
      <c r="D388" s="355"/>
      <c r="E388" s="355"/>
      <c r="F388" s="355"/>
      <c r="G388" s="355"/>
      <c r="H388" s="355"/>
      <c r="I388" s="355"/>
      <c r="J388" s="355"/>
      <c r="K388" s="598"/>
      <c r="L388" s="355"/>
      <c r="M388" s="355"/>
      <c r="N388" s="355"/>
      <c r="O388" s="355"/>
      <c r="R388" s="355"/>
      <c r="S388" s="355"/>
      <c r="T388" s="355"/>
      <c r="U388" s="355"/>
      <c r="V388" s="355"/>
      <c r="W388" s="355"/>
      <c r="X388" s="355"/>
      <c r="Y388" s="355"/>
      <c r="Z388" s="355"/>
      <c r="AA388" s="355"/>
      <c r="AB388" s="355"/>
      <c r="AC388" s="355"/>
      <c r="AD388" s="355"/>
      <c r="AE388" s="355"/>
      <c r="AF388" s="355"/>
      <c r="AG388" s="355"/>
      <c r="AH388" s="355"/>
    </row>
    <row r="389" spans="1:34" x14ac:dyDescent="0.2">
      <c r="A389" s="355"/>
      <c r="B389" s="355"/>
      <c r="C389" s="355"/>
      <c r="D389" s="355"/>
      <c r="E389" s="355"/>
      <c r="F389" s="355"/>
      <c r="G389" s="355"/>
      <c r="H389" s="355"/>
      <c r="I389" s="355"/>
      <c r="J389" s="355"/>
      <c r="K389" s="598"/>
      <c r="L389" s="355"/>
      <c r="M389" s="355"/>
      <c r="N389" s="355"/>
      <c r="O389" s="355"/>
      <c r="R389" s="355"/>
      <c r="S389" s="355"/>
      <c r="T389" s="355"/>
      <c r="U389" s="355"/>
      <c r="V389" s="355"/>
      <c r="W389" s="355"/>
      <c r="X389" s="355"/>
      <c r="Y389" s="355"/>
      <c r="Z389" s="355"/>
      <c r="AA389" s="355"/>
      <c r="AB389" s="355"/>
      <c r="AC389" s="355"/>
      <c r="AD389" s="355"/>
      <c r="AE389" s="355"/>
      <c r="AF389" s="355"/>
      <c r="AG389" s="355"/>
      <c r="AH389" s="355"/>
    </row>
    <row r="390" spans="1:34" x14ac:dyDescent="0.2">
      <c r="A390" s="355"/>
      <c r="B390" s="355"/>
      <c r="C390" s="355"/>
      <c r="D390" s="355"/>
      <c r="E390" s="355"/>
      <c r="F390" s="355"/>
      <c r="G390" s="355"/>
      <c r="H390" s="355"/>
      <c r="I390" s="355"/>
      <c r="J390" s="355"/>
      <c r="K390" s="598"/>
      <c r="L390" s="355"/>
      <c r="M390" s="355"/>
      <c r="N390" s="355"/>
      <c r="O390" s="355"/>
      <c r="R390" s="355"/>
      <c r="S390" s="355"/>
      <c r="T390" s="355"/>
      <c r="U390" s="355"/>
      <c r="V390" s="355"/>
      <c r="W390" s="355"/>
      <c r="X390" s="355"/>
      <c r="Y390" s="355"/>
      <c r="Z390" s="355"/>
      <c r="AA390" s="355"/>
      <c r="AB390" s="355"/>
      <c r="AC390" s="355"/>
      <c r="AD390" s="355"/>
      <c r="AE390" s="355"/>
      <c r="AF390" s="355"/>
      <c r="AG390" s="355"/>
      <c r="AH390" s="355"/>
    </row>
    <row r="391" spans="1:34" x14ac:dyDescent="0.2">
      <c r="A391" s="355"/>
      <c r="B391" s="355"/>
      <c r="C391" s="355"/>
      <c r="D391" s="355"/>
      <c r="E391" s="355"/>
      <c r="F391" s="355"/>
      <c r="G391" s="355"/>
      <c r="H391" s="355"/>
      <c r="I391" s="355"/>
      <c r="J391" s="355"/>
      <c r="K391" s="598"/>
      <c r="L391" s="355"/>
      <c r="M391" s="355"/>
      <c r="N391" s="355"/>
      <c r="O391" s="355"/>
      <c r="R391" s="355"/>
      <c r="S391" s="355"/>
      <c r="T391" s="355"/>
      <c r="U391" s="355"/>
      <c r="V391" s="355"/>
      <c r="W391" s="355"/>
      <c r="X391" s="355"/>
      <c r="Y391" s="355"/>
      <c r="Z391" s="355"/>
      <c r="AA391" s="355"/>
      <c r="AB391" s="355"/>
      <c r="AC391" s="355"/>
      <c r="AD391" s="355"/>
      <c r="AE391" s="355"/>
      <c r="AF391" s="355"/>
      <c r="AG391" s="355"/>
      <c r="AH391" s="355"/>
    </row>
    <row r="392" spans="1:34" x14ac:dyDescent="0.2">
      <c r="A392" s="355"/>
      <c r="B392" s="355"/>
      <c r="C392" s="355"/>
      <c r="D392" s="355"/>
      <c r="E392" s="355"/>
      <c r="F392" s="355"/>
      <c r="G392" s="355"/>
      <c r="H392" s="355"/>
      <c r="I392" s="355"/>
      <c r="J392" s="355"/>
      <c r="K392" s="598"/>
      <c r="L392" s="355"/>
      <c r="M392" s="355"/>
      <c r="N392" s="355"/>
      <c r="O392" s="355"/>
      <c r="R392" s="355"/>
      <c r="S392" s="355"/>
      <c r="T392" s="355"/>
      <c r="U392" s="355"/>
      <c r="V392" s="355"/>
      <c r="W392" s="355"/>
      <c r="X392" s="355"/>
      <c r="Y392" s="355"/>
      <c r="Z392" s="355"/>
      <c r="AA392" s="355"/>
      <c r="AB392" s="355"/>
      <c r="AC392" s="355"/>
      <c r="AD392" s="355"/>
      <c r="AE392" s="355"/>
      <c r="AF392" s="355"/>
      <c r="AG392" s="355"/>
      <c r="AH392" s="355"/>
    </row>
    <row r="393" spans="1:34" x14ac:dyDescent="0.2">
      <c r="A393" s="355"/>
      <c r="B393" s="355"/>
      <c r="C393" s="355"/>
      <c r="D393" s="355"/>
      <c r="E393" s="355"/>
      <c r="F393" s="355"/>
      <c r="G393" s="355"/>
      <c r="H393" s="355"/>
      <c r="I393" s="355"/>
      <c r="J393" s="355"/>
      <c r="K393" s="598"/>
      <c r="L393" s="355"/>
      <c r="M393" s="355"/>
      <c r="N393" s="355"/>
      <c r="O393" s="355"/>
      <c r="R393" s="355"/>
      <c r="S393" s="355"/>
      <c r="T393" s="355"/>
      <c r="U393" s="355"/>
      <c r="V393" s="355"/>
      <c r="W393" s="355"/>
      <c r="X393" s="355"/>
      <c r="Y393" s="355"/>
      <c r="Z393" s="355"/>
      <c r="AA393" s="355"/>
      <c r="AB393" s="355"/>
      <c r="AC393" s="355"/>
      <c r="AD393" s="355"/>
      <c r="AE393" s="355"/>
      <c r="AF393" s="355"/>
      <c r="AG393" s="355"/>
      <c r="AH393" s="355"/>
    </row>
    <row r="394" spans="1:34" x14ac:dyDescent="0.2">
      <c r="A394" s="355"/>
      <c r="B394" s="355"/>
      <c r="C394" s="355"/>
      <c r="D394" s="355"/>
      <c r="E394" s="355"/>
      <c r="F394" s="355"/>
      <c r="G394" s="355"/>
      <c r="H394" s="355"/>
      <c r="I394" s="355"/>
      <c r="J394" s="355"/>
      <c r="K394" s="598"/>
      <c r="L394" s="355"/>
      <c r="M394" s="355"/>
      <c r="N394" s="355"/>
      <c r="O394" s="355"/>
      <c r="R394" s="355"/>
      <c r="S394" s="355"/>
      <c r="T394" s="355"/>
      <c r="U394" s="355"/>
      <c r="V394" s="355"/>
      <c r="W394" s="355"/>
      <c r="X394" s="355"/>
      <c r="Y394" s="355"/>
      <c r="Z394" s="355"/>
      <c r="AA394" s="355"/>
      <c r="AB394" s="355"/>
      <c r="AC394" s="355"/>
      <c r="AD394" s="355"/>
      <c r="AE394" s="355"/>
      <c r="AF394" s="355"/>
      <c r="AG394" s="355"/>
      <c r="AH394" s="355"/>
    </row>
    <row r="395" spans="1:34" x14ac:dyDescent="0.2">
      <c r="A395" s="355"/>
      <c r="B395" s="355"/>
      <c r="C395" s="355"/>
      <c r="D395" s="355"/>
      <c r="E395" s="355"/>
      <c r="F395" s="355"/>
      <c r="G395" s="355"/>
      <c r="H395" s="355"/>
      <c r="I395" s="355"/>
      <c r="J395" s="355"/>
      <c r="K395" s="598"/>
      <c r="L395" s="355"/>
      <c r="M395" s="355"/>
      <c r="N395" s="355"/>
      <c r="O395" s="355"/>
      <c r="R395" s="355"/>
      <c r="S395" s="355"/>
      <c r="T395" s="355"/>
      <c r="U395" s="355"/>
      <c r="V395" s="355"/>
      <c r="W395" s="355"/>
      <c r="X395" s="355"/>
      <c r="Y395" s="355"/>
      <c r="Z395" s="355"/>
      <c r="AA395" s="355"/>
      <c r="AB395" s="355"/>
      <c r="AC395" s="355"/>
      <c r="AD395" s="355"/>
      <c r="AE395" s="355"/>
      <c r="AF395" s="355"/>
      <c r="AG395" s="355"/>
      <c r="AH395" s="355"/>
    </row>
    <row r="396" spans="1:34" x14ac:dyDescent="0.2">
      <c r="A396" s="355"/>
      <c r="B396" s="355"/>
      <c r="C396" s="355"/>
      <c r="D396" s="355"/>
      <c r="E396" s="355"/>
      <c r="F396" s="355"/>
      <c r="G396" s="355"/>
      <c r="H396" s="355"/>
      <c r="I396" s="355"/>
      <c r="J396" s="355"/>
      <c r="K396" s="598"/>
      <c r="L396" s="355"/>
      <c r="M396" s="355"/>
      <c r="N396" s="355"/>
      <c r="O396" s="355"/>
      <c r="R396" s="355"/>
      <c r="S396" s="355"/>
      <c r="T396" s="355"/>
      <c r="U396" s="355"/>
      <c r="V396" s="355"/>
      <c r="W396" s="355"/>
      <c r="X396" s="355"/>
      <c r="Y396" s="355"/>
      <c r="Z396" s="355"/>
      <c r="AA396" s="355"/>
      <c r="AB396" s="355"/>
      <c r="AC396" s="355"/>
      <c r="AD396" s="355"/>
      <c r="AE396" s="355"/>
      <c r="AF396" s="355"/>
      <c r="AG396" s="355"/>
      <c r="AH396" s="355"/>
    </row>
    <row r="397" spans="1:34" x14ac:dyDescent="0.2">
      <c r="A397" s="355"/>
      <c r="B397" s="355"/>
      <c r="C397" s="355"/>
      <c r="D397" s="355"/>
      <c r="E397" s="355"/>
      <c r="F397" s="355"/>
      <c r="G397" s="355"/>
      <c r="H397" s="355"/>
      <c r="I397" s="355"/>
      <c r="J397" s="355"/>
      <c r="K397" s="598"/>
      <c r="L397" s="355"/>
      <c r="M397" s="355"/>
      <c r="N397" s="355"/>
      <c r="O397" s="355"/>
      <c r="R397" s="355"/>
      <c r="S397" s="355"/>
      <c r="T397" s="355"/>
      <c r="U397" s="355"/>
      <c r="V397" s="355"/>
      <c r="W397" s="355"/>
      <c r="X397" s="355"/>
      <c r="Y397" s="355"/>
      <c r="Z397" s="355"/>
      <c r="AA397" s="355"/>
      <c r="AB397" s="355"/>
      <c r="AC397" s="355"/>
      <c r="AD397" s="355"/>
      <c r="AE397" s="355"/>
      <c r="AF397" s="355"/>
      <c r="AG397" s="355"/>
      <c r="AH397" s="355"/>
    </row>
    <row r="398" spans="1:34" x14ac:dyDescent="0.2">
      <c r="A398" s="355"/>
      <c r="B398" s="355"/>
      <c r="C398" s="355"/>
      <c r="D398" s="355"/>
      <c r="E398" s="355"/>
      <c r="F398" s="355"/>
      <c r="G398" s="355"/>
      <c r="H398" s="355"/>
      <c r="I398" s="355"/>
      <c r="J398" s="355"/>
      <c r="K398" s="598"/>
      <c r="L398" s="355"/>
      <c r="M398" s="355"/>
      <c r="N398" s="355"/>
      <c r="O398" s="355"/>
      <c r="R398" s="355"/>
      <c r="S398" s="355"/>
      <c r="T398" s="355"/>
      <c r="U398" s="355"/>
      <c r="V398" s="355"/>
      <c r="W398" s="355"/>
      <c r="X398" s="355"/>
      <c r="Y398" s="355"/>
      <c r="Z398" s="355"/>
      <c r="AA398" s="355"/>
      <c r="AB398" s="355"/>
      <c r="AC398" s="355"/>
      <c r="AD398" s="355"/>
      <c r="AE398" s="355"/>
      <c r="AF398" s="355"/>
      <c r="AG398" s="355"/>
      <c r="AH398" s="355"/>
    </row>
    <row r="399" spans="1:34" x14ac:dyDescent="0.2">
      <c r="A399" s="355"/>
      <c r="B399" s="355"/>
      <c r="C399" s="355"/>
      <c r="D399" s="355"/>
      <c r="E399" s="355"/>
      <c r="F399" s="355"/>
      <c r="G399" s="355"/>
      <c r="H399" s="355"/>
      <c r="I399" s="355"/>
      <c r="J399" s="355"/>
      <c r="K399" s="598"/>
      <c r="L399" s="355"/>
      <c r="M399" s="355"/>
      <c r="N399" s="355"/>
      <c r="O399" s="355"/>
      <c r="R399" s="355"/>
      <c r="S399" s="355"/>
      <c r="T399" s="355"/>
      <c r="U399" s="355"/>
      <c r="V399" s="355"/>
      <c r="W399" s="355"/>
      <c r="X399" s="355"/>
      <c r="Y399" s="355"/>
      <c r="Z399" s="355"/>
      <c r="AA399" s="355"/>
      <c r="AB399" s="355"/>
      <c r="AC399" s="355"/>
      <c r="AD399" s="355"/>
      <c r="AE399" s="355"/>
      <c r="AF399" s="355"/>
      <c r="AG399" s="355"/>
      <c r="AH399" s="355"/>
    </row>
    <row r="400" spans="1:34" x14ac:dyDescent="0.2">
      <c r="A400" s="355"/>
      <c r="B400" s="355"/>
      <c r="C400" s="355"/>
      <c r="D400" s="355"/>
      <c r="E400" s="355"/>
      <c r="F400" s="355"/>
      <c r="G400" s="355"/>
      <c r="H400" s="355"/>
      <c r="I400" s="355"/>
      <c r="J400" s="355"/>
      <c r="K400" s="598"/>
      <c r="L400" s="355"/>
      <c r="M400" s="355"/>
      <c r="N400" s="355"/>
      <c r="O400" s="355"/>
      <c r="R400" s="355"/>
      <c r="S400" s="355"/>
      <c r="T400" s="355"/>
      <c r="U400" s="355"/>
      <c r="V400" s="355"/>
      <c r="W400" s="355"/>
      <c r="X400" s="355"/>
      <c r="Y400" s="355"/>
      <c r="Z400" s="355"/>
      <c r="AA400" s="355"/>
      <c r="AB400" s="355"/>
      <c r="AC400" s="355"/>
      <c r="AD400" s="355"/>
      <c r="AE400" s="355"/>
      <c r="AF400" s="355"/>
      <c r="AG400" s="355"/>
      <c r="AH400" s="355"/>
    </row>
    <row r="401" spans="1:34" x14ac:dyDescent="0.2">
      <c r="A401" s="355"/>
      <c r="B401" s="355"/>
      <c r="C401" s="355"/>
      <c r="D401" s="355"/>
      <c r="E401" s="355"/>
      <c r="F401" s="355"/>
      <c r="G401" s="355"/>
      <c r="H401" s="355"/>
      <c r="I401" s="355"/>
      <c r="J401" s="355"/>
      <c r="K401" s="598"/>
      <c r="L401" s="355"/>
      <c r="M401" s="355"/>
      <c r="N401" s="355"/>
      <c r="O401" s="355"/>
      <c r="R401" s="355"/>
      <c r="S401" s="355"/>
      <c r="T401" s="355"/>
      <c r="U401" s="355"/>
      <c r="V401" s="355"/>
      <c r="W401" s="355"/>
      <c r="X401" s="355"/>
      <c r="Y401" s="355"/>
      <c r="Z401" s="355"/>
      <c r="AA401" s="355"/>
      <c r="AB401" s="355"/>
      <c r="AC401" s="355"/>
      <c r="AD401" s="355"/>
      <c r="AE401" s="355"/>
      <c r="AF401" s="355"/>
      <c r="AG401" s="355"/>
      <c r="AH401" s="355"/>
    </row>
    <row r="402" spans="1:34" x14ac:dyDescent="0.2">
      <c r="A402" s="355"/>
      <c r="B402" s="355"/>
      <c r="C402" s="355"/>
      <c r="D402" s="355"/>
      <c r="E402" s="355"/>
      <c r="F402" s="355"/>
      <c r="G402" s="355"/>
      <c r="H402" s="355"/>
      <c r="I402" s="355"/>
      <c r="J402" s="355"/>
      <c r="K402" s="598"/>
      <c r="L402" s="355"/>
      <c r="M402" s="355"/>
      <c r="N402" s="355"/>
      <c r="O402" s="355"/>
      <c r="R402" s="355"/>
      <c r="S402" s="355"/>
      <c r="T402" s="355"/>
      <c r="U402" s="355"/>
      <c r="V402" s="355"/>
      <c r="W402" s="355"/>
      <c r="X402" s="355"/>
      <c r="Y402" s="355"/>
      <c r="Z402" s="355"/>
      <c r="AA402" s="355"/>
      <c r="AB402" s="355"/>
      <c r="AC402" s="355"/>
      <c r="AD402" s="355"/>
      <c r="AE402" s="355"/>
      <c r="AF402" s="355"/>
      <c r="AG402" s="355"/>
      <c r="AH402" s="355"/>
    </row>
    <row r="403" spans="1:34" x14ac:dyDescent="0.2">
      <c r="A403" s="355"/>
      <c r="B403" s="355"/>
      <c r="C403" s="355"/>
      <c r="D403" s="355"/>
      <c r="E403" s="355"/>
      <c r="F403" s="355"/>
      <c r="G403" s="355"/>
      <c r="H403" s="355"/>
      <c r="I403" s="355"/>
      <c r="J403" s="355"/>
      <c r="K403" s="598"/>
      <c r="L403" s="355"/>
      <c r="M403" s="355"/>
      <c r="N403" s="355"/>
      <c r="O403" s="355"/>
      <c r="R403" s="355"/>
      <c r="S403" s="355"/>
      <c r="T403" s="355"/>
      <c r="U403" s="355"/>
      <c r="V403" s="355"/>
      <c r="W403" s="355"/>
      <c r="X403" s="355"/>
      <c r="Y403" s="355"/>
      <c r="Z403" s="355"/>
      <c r="AA403" s="355"/>
      <c r="AB403" s="355"/>
      <c r="AC403" s="355"/>
      <c r="AD403" s="355"/>
      <c r="AE403" s="355"/>
      <c r="AF403" s="355"/>
      <c r="AG403" s="355"/>
      <c r="AH403" s="355"/>
    </row>
    <row r="404" spans="1:34" x14ac:dyDescent="0.2">
      <c r="A404" s="355"/>
      <c r="B404" s="355"/>
      <c r="C404" s="355"/>
      <c r="D404" s="355"/>
      <c r="E404" s="355"/>
      <c r="F404" s="355"/>
      <c r="G404" s="355"/>
      <c r="H404" s="355"/>
      <c r="I404" s="355"/>
      <c r="J404" s="355"/>
      <c r="K404" s="598"/>
      <c r="L404" s="355"/>
      <c r="M404" s="355"/>
      <c r="N404" s="355"/>
      <c r="O404" s="355"/>
      <c r="R404" s="355"/>
      <c r="S404" s="355"/>
      <c r="T404" s="355"/>
      <c r="U404" s="355"/>
      <c r="V404" s="355"/>
      <c r="W404" s="355"/>
      <c r="X404" s="355"/>
      <c r="Y404" s="355"/>
      <c r="Z404" s="355"/>
      <c r="AA404" s="355"/>
      <c r="AB404" s="355"/>
      <c r="AC404" s="355"/>
      <c r="AD404" s="355"/>
      <c r="AE404" s="355"/>
      <c r="AF404" s="355"/>
      <c r="AG404" s="355"/>
      <c r="AH404" s="355"/>
    </row>
    <row r="405" spans="1:34" x14ac:dyDescent="0.2">
      <c r="A405" s="355"/>
      <c r="B405" s="355"/>
      <c r="C405" s="355"/>
      <c r="D405" s="355"/>
      <c r="E405" s="355"/>
      <c r="F405" s="355"/>
      <c r="G405" s="355"/>
      <c r="H405" s="355"/>
      <c r="I405" s="355"/>
      <c r="J405" s="355"/>
      <c r="K405" s="598"/>
      <c r="L405" s="355"/>
      <c r="M405" s="355"/>
      <c r="N405" s="355"/>
      <c r="O405" s="355"/>
      <c r="R405" s="355"/>
      <c r="S405" s="355"/>
      <c r="T405" s="355"/>
      <c r="U405" s="355"/>
      <c r="V405" s="355"/>
      <c r="W405" s="355"/>
      <c r="X405" s="355"/>
      <c r="Y405" s="355"/>
      <c r="Z405" s="355"/>
      <c r="AA405" s="355"/>
      <c r="AB405" s="355"/>
      <c r="AC405" s="355"/>
      <c r="AD405" s="355"/>
      <c r="AE405" s="355"/>
      <c r="AF405" s="355"/>
      <c r="AG405" s="355"/>
      <c r="AH405" s="355"/>
    </row>
    <row r="406" spans="1:34" x14ac:dyDescent="0.2">
      <c r="A406" s="355"/>
      <c r="B406" s="355"/>
      <c r="C406" s="355"/>
      <c r="D406" s="355"/>
      <c r="E406" s="355"/>
      <c r="F406" s="355"/>
      <c r="G406" s="355"/>
      <c r="H406" s="355"/>
      <c r="I406" s="355"/>
      <c r="J406" s="355"/>
      <c r="K406" s="598"/>
      <c r="L406" s="355"/>
      <c r="M406" s="355"/>
      <c r="N406" s="355"/>
      <c r="O406" s="355"/>
      <c r="R406" s="355"/>
      <c r="S406" s="355"/>
      <c r="T406" s="355"/>
      <c r="U406" s="355"/>
      <c r="V406" s="355"/>
      <c r="W406" s="355"/>
      <c r="X406" s="355"/>
      <c r="Y406" s="355"/>
      <c r="Z406" s="355"/>
      <c r="AA406" s="355"/>
      <c r="AB406" s="355"/>
      <c r="AC406" s="355"/>
      <c r="AD406" s="355"/>
      <c r="AE406" s="355"/>
      <c r="AF406" s="355"/>
      <c r="AG406" s="355"/>
      <c r="AH406" s="355"/>
    </row>
    <row r="407" spans="1:34" x14ac:dyDescent="0.2">
      <c r="A407" s="355"/>
      <c r="B407" s="355"/>
      <c r="C407" s="355"/>
      <c r="D407" s="355"/>
      <c r="E407" s="355"/>
      <c r="F407" s="355"/>
      <c r="G407" s="355"/>
      <c r="H407" s="355"/>
      <c r="I407" s="355"/>
      <c r="J407" s="355"/>
      <c r="K407" s="598"/>
      <c r="L407" s="355"/>
      <c r="M407" s="355"/>
      <c r="N407" s="355"/>
      <c r="O407" s="355"/>
      <c r="R407" s="355"/>
      <c r="S407" s="355"/>
      <c r="T407" s="355"/>
      <c r="U407" s="355"/>
      <c r="V407" s="355"/>
      <c r="W407" s="355"/>
      <c r="X407" s="355"/>
      <c r="Y407" s="355"/>
      <c r="Z407" s="355"/>
      <c r="AA407" s="355"/>
      <c r="AB407" s="355"/>
      <c r="AC407" s="355"/>
      <c r="AD407" s="355"/>
      <c r="AE407" s="355"/>
      <c r="AF407" s="355"/>
      <c r="AG407" s="355"/>
      <c r="AH407" s="355"/>
    </row>
    <row r="408" spans="1:34" x14ac:dyDescent="0.2">
      <c r="A408" s="355"/>
      <c r="B408" s="355"/>
      <c r="C408" s="355"/>
      <c r="D408" s="355"/>
      <c r="E408" s="355"/>
      <c r="F408" s="355"/>
      <c r="G408" s="355"/>
      <c r="H408" s="355"/>
      <c r="I408" s="355"/>
      <c r="J408" s="355"/>
      <c r="K408" s="598"/>
      <c r="L408" s="355"/>
      <c r="M408" s="355"/>
      <c r="N408" s="355"/>
      <c r="O408" s="355"/>
      <c r="R408" s="355"/>
      <c r="S408" s="355"/>
      <c r="T408" s="355"/>
      <c r="U408" s="355"/>
      <c r="V408" s="355"/>
      <c r="W408" s="355"/>
      <c r="X408" s="355"/>
      <c r="Y408" s="355"/>
      <c r="Z408" s="355"/>
      <c r="AA408" s="355"/>
      <c r="AB408" s="355"/>
      <c r="AC408" s="355"/>
      <c r="AD408" s="355"/>
      <c r="AE408" s="355"/>
      <c r="AF408" s="355"/>
      <c r="AG408" s="355"/>
      <c r="AH408" s="355"/>
    </row>
    <row r="409" spans="1:34" x14ac:dyDescent="0.2">
      <c r="A409" s="355"/>
      <c r="B409" s="355"/>
      <c r="C409" s="355"/>
      <c r="D409" s="355"/>
      <c r="E409" s="355"/>
      <c r="F409" s="355"/>
      <c r="G409" s="355"/>
      <c r="H409" s="355"/>
      <c r="I409" s="355"/>
      <c r="J409" s="355"/>
      <c r="K409" s="598"/>
      <c r="L409" s="355"/>
      <c r="M409" s="355"/>
      <c r="N409" s="355"/>
      <c r="O409" s="355"/>
      <c r="R409" s="355"/>
      <c r="S409" s="355"/>
      <c r="T409" s="355"/>
      <c r="U409" s="355"/>
      <c r="V409" s="355"/>
      <c r="W409" s="355"/>
      <c r="X409" s="355"/>
      <c r="Y409" s="355"/>
      <c r="Z409" s="355"/>
      <c r="AA409" s="355"/>
      <c r="AB409" s="355"/>
      <c r="AC409" s="355"/>
      <c r="AD409" s="355"/>
      <c r="AE409" s="355"/>
      <c r="AF409" s="355"/>
      <c r="AG409" s="355"/>
      <c r="AH409" s="355"/>
    </row>
    <row r="410" spans="1:34" x14ac:dyDescent="0.2">
      <c r="A410" s="355"/>
      <c r="B410" s="355"/>
      <c r="C410" s="355"/>
      <c r="D410" s="355"/>
      <c r="E410" s="355"/>
      <c r="F410" s="355"/>
      <c r="G410" s="355"/>
      <c r="H410" s="355"/>
      <c r="I410" s="355"/>
      <c r="J410" s="355"/>
      <c r="K410" s="598"/>
      <c r="L410" s="355"/>
      <c r="M410" s="355"/>
      <c r="N410" s="355"/>
      <c r="O410" s="355"/>
      <c r="R410" s="355"/>
      <c r="S410" s="355"/>
      <c r="T410" s="355"/>
      <c r="U410" s="355"/>
      <c r="V410" s="355"/>
      <c r="W410" s="355"/>
      <c r="X410" s="355"/>
      <c r="Y410" s="355"/>
      <c r="Z410" s="355"/>
      <c r="AA410" s="355"/>
      <c r="AB410" s="355"/>
      <c r="AC410" s="355"/>
      <c r="AD410" s="355"/>
      <c r="AE410" s="355"/>
      <c r="AF410" s="355"/>
      <c r="AG410" s="355"/>
      <c r="AH410" s="355"/>
    </row>
    <row r="411" spans="1:34" x14ac:dyDescent="0.2">
      <c r="A411" s="355"/>
      <c r="B411" s="355"/>
      <c r="C411" s="355"/>
      <c r="D411" s="355"/>
      <c r="E411" s="355"/>
      <c r="F411" s="355"/>
      <c r="G411" s="355"/>
      <c r="H411" s="355"/>
      <c r="I411" s="355"/>
      <c r="J411" s="355"/>
      <c r="K411" s="598"/>
      <c r="L411" s="355"/>
      <c r="M411" s="355"/>
      <c r="N411" s="355"/>
      <c r="O411" s="355"/>
      <c r="R411" s="355"/>
      <c r="S411" s="355"/>
      <c r="T411" s="355"/>
      <c r="U411" s="355"/>
      <c r="V411" s="355"/>
      <c r="W411" s="355"/>
      <c r="X411" s="355"/>
      <c r="Y411" s="355"/>
      <c r="Z411" s="355"/>
      <c r="AA411" s="355"/>
      <c r="AB411" s="355"/>
      <c r="AC411" s="355"/>
      <c r="AD411" s="355"/>
      <c r="AE411" s="355"/>
      <c r="AF411" s="355"/>
      <c r="AG411" s="355"/>
      <c r="AH411" s="355"/>
    </row>
    <row r="412" spans="1:34" x14ac:dyDescent="0.2">
      <c r="A412" s="355"/>
      <c r="B412" s="355"/>
      <c r="C412" s="355"/>
      <c r="D412" s="355"/>
      <c r="E412" s="355"/>
      <c r="F412" s="355"/>
      <c r="G412" s="355"/>
      <c r="H412" s="355"/>
      <c r="I412" s="355"/>
      <c r="J412" s="355"/>
      <c r="K412" s="598"/>
      <c r="L412" s="355"/>
      <c r="M412" s="355"/>
      <c r="N412" s="355"/>
      <c r="O412" s="355"/>
      <c r="R412" s="355"/>
      <c r="S412" s="355"/>
      <c r="T412" s="355"/>
      <c r="U412" s="355"/>
      <c r="V412" s="355"/>
      <c r="W412" s="355"/>
      <c r="X412" s="355"/>
      <c r="Y412" s="355"/>
      <c r="Z412" s="355"/>
      <c r="AA412" s="355"/>
      <c r="AB412" s="355"/>
      <c r="AC412" s="355"/>
      <c r="AD412" s="355"/>
      <c r="AE412" s="355"/>
      <c r="AF412" s="355"/>
      <c r="AG412" s="355"/>
      <c r="AH412" s="355"/>
    </row>
    <row r="413" spans="1:34" x14ac:dyDescent="0.2">
      <c r="A413" s="355"/>
      <c r="B413" s="355"/>
      <c r="C413" s="355"/>
      <c r="D413" s="355"/>
      <c r="E413" s="355"/>
      <c r="F413" s="355"/>
      <c r="G413" s="355"/>
      <c r="H413" s="355"/>
      <c r="I413" s="355"/>
      <c r="J413" s="355"/>
      <c r="K413" s="598"/>
      <c r="L413" s="355"/>
      <c r="M413" s="355"/>
      <c r="N413" s="355"/>
      <c r="O413" s="355"/>
      <c r="R413" s="355"/>
      <c r="S413" s="355"/>
      <c r="T413" s="355"/>
      <c r="U413" s="355"/>
      <c r="V413" s="355"/>
      <c r="W413" s="355"/>
      <c r="X413" s="355"/>
      <c r="Y413" s="355"/>
      <c r="Z413" s="355"/>
      <c r="AA413" s="355"/>
      <c r="AB413" s="355"/>
      <c r="AC413" s="355"/>
      <c r="AD413" s="355"/>
      <c r="AE413" s="355"/>
      <c r="AF413" s="355"/>
      <c r="AG413" s="355"/>
      <c r="AH413" s="355"/>
    </row>
    <row r="414" spans="1:34" x14ac:dyDescent="0.2">
      <c r="A414" s="355"/>
      <c r="B414" s="355"/>
      <c r="C414" s="355"/>
      <c r="D414" s="355"/>
      <c r="E414" s="355"/>
      <c r="F414" s="355"/>
      <c r="G414" s="355"/>
      <c r="H414" s="355"/>
      <c r="I414" s="355"/>
      <c r="J414" s="355"/>
      <c r="K414" s="598"/>
      <c r="L414" s="355"/>
      <c r="M414" s="355"/>
      <c r="N414" s="355"/>
      <c r="O414" s="355"/>
      <c r="R414" s="355"/>
      <c r="S414" s="355"/>
      <c r="T414" s="355"/>
      <c r="U414" s="355"/>
      <c r="V414" s="355"/>
      <c r="W414" s="355"/>
      <c r="X414" s="355"/>
      <c r="Y414" s="355"/>
      <c r="Z414" s="355"/>
      <c r="AA414" s="355"/>
      <c r="AB414" s="355"/>
      <c r="AC414" s="355"/>
      <c r="AD414" s="355"/>
      <c r="AE414" s="355"/>
      <c r="AF414" s="355"/>
      <c r="AG414" s="355"/>
      <c r="AH414" s="355"/>
    </row>
    <row r="415" spans="1:34" x14ac:dyDescent="0.2">
      <c r="A415" s="355"/>
      <c r="B415" s="355"/>
      <c r="C415" s="355"/>
      <c r="D415" s="355"/>
      <c r="E415" s="355"/>
      <c r="F415" s="355"/>
      <c r="G415" s="355"/>
      <c r="H415" s="355"/>
      <c r="I415" s="355"/>
      <c r="J415" s="355"/>
      <c r="K415" s="598"/>
      <c r="L415" s="355"/>
      <c r="M415" s="355"/>
      <c r="N415" s="355"/>
      <c r="O415" s="355"/>
      <c r="R415" s="355"/>
      <c r="S415" s="355"/>
      <c r="T415" s="355"/>
      <c r="U415" s="355"/>
      <c r="V415" s="355"/>
      <c r="W415" s="355"/>
      <c r="X415" s="355"/>
      <c r="Y415" s="355"/>
      <c r="Z415" s="355"/>
      <c r="AA415" s="355"/>
      <c r="AB415" s="355"/>
      <c r="AC415" s="355"/>
      <c r="AD415" s="355"/>
      <c r="AE415" s="355"/>
      <c r="AF415" s="355"/>
      <c r="AG415" s="355"/>
      <c r="AH415" s="355"/>
    </row>
    <row r="416" spans="1:34" x14ac:dyDescent="0.2">
      <c r="A416" s="355"/>
      <c r="B416" s="355"/>
      <c r="C416" s="355"/>
      <c r="D416" s="355"/>
      <c r="E416" s="355"/>
      <c r="F416" s="355"/>
      <c r="G416" s="355"/>
      <c r="H416" s="355"/>
      <c r="I416" s="355"/>
      <c r="J416" s="355"/>
      <c r="K416" s="598"/>
      <c r="L416" s="355"/>
      <c r="M416" s="355"/>
      <c r="N416" s="355"/>
      <c r="O416" s="355"/>
      <c r="R416" s="355"/>
      <c r="S416" s="355"/>
      <c r="T416" s="355"/>
      <c r="U416" s="355"/>
      <c r="V416" s="355"/>
      <c r="W416" s="355"/>
      <c r="X416" s="355"/>
      <c r="Y416" s="355"/>
      <c r="Z416" s="355"/>
      <c r="AA416" s="355"/>
      <c r="AB416" s="355"/>
      <c r="AC416" s="355"/>
      <c r="AD416" s="355"/>
      <c r="AE416" s="355"/>
      <c r="AF416" s="355"/>
      <c r="AG416" s="355"/>
      <c r="AH416" s="355"/>
    </row>
    <row r="417" spans="1:34" x14ac:dyDescent="0.2">
      <c r="A417" s="355"/>
      <c r="B417" s="355"/>
      <c r="C417" s="355"/>
      <c r="D417" s="355"/>
      <c r="E417" s="355"/>
      <c r="F417" s="355"/>
      <c r="G417" s="355"/>
      <c r="H417" s="355"/>
      <c r="I417" s="355"/>
      <c r="J417" s="355"/>
      <c r="K417" s="598"/>
      <c r="L417" s="355"/>
      <c r="M417" s="355"/>
      <c r="N417" s="355"/>
      <c r="O417" s="355"/>
      <c r="R417" s="355"/>
      <c r="S417" s="355"/>
      <c r="T417" s="355"/>
      <c r="U417" s="355"/>
      <c r="V417" s="355"/>
      <c r="W417" s="355"/>
      <c r="X417" s="355"/>
      <c r="Y417" s="355"/>
      <c r="Z417" s="355"/>
      <c r="AA417" s="355"/>
      <c r="AB417" s="355"/>
      <c r="AC417" s="355"/>
      <c r="AD417" s="355"/>
      <c r="AE417" s="355"/>
      <c r="AF417" s="355"/>
      <c r="AG417" s="355"/>
      <c r="AH417" s="355"/>
    </row>
    <row r="418" spans="1:34" x14ac:dyDescent="0.2">
      <c r="A418" s="355"/>
      <c r="B418" s="355"/>
      <c r="C418" s="355"/>
      <c r="D418" s="355"/>
      <c r="E418" s="355"/>
      <c r="F418" s="355"/>
      <c r="G418" s="355"/>
      <c r="H418" s="355"/>
      <c r="I418" s="355"/>
      <c r="J418" s="355"/>
      <c r="K418" s="598"/>
      <c r="L418" s="355"/>
      <c r="M418" s="355"/>
      <c r="N418" s="355"/>
      <c r="O418" s="355"/>
      <c r="R418" s="355"/>
      <c r="S418" s="355"/>
      <c r="T418" s="355"/>
      <c r="U418" s="355"/>
      <c r="V418" s="355"/>
      <c r="W418" s="355"/>
      <c r="X418" s="355"/>
      <c r="Y418" s="355"/>
      <c r="Z418" s="355"/>
      <c r="AA418" s="355"/>
      <c r="AB418" s="355"/>
      <c r="AC418" s="355"/>
      <c r="AD418" s="355"/>
      <c r="AE418" s="355"/>
      <c r="AF418" s="355"/>
      <c r="AG418" s="355"/>
      <c r="AH418" s="355"/>
    </row>
    <row r="419" spans="1:34" x14ac:dyDescent="0.2">
      <c r="A419" s="355"/>
      <c r="B419" s="355"/>
      <c r="C419" s="355"/>
      <c r="D419" s="355"/>
      <c r="E419" s="355"/>
      <c r="F419" s="355"/>
      <c r="G419" s="355"/>
      <c r="H419" s="355"/>
      <c r="I419" s="355"/>
      <c r="J419" s="355"/>
      <c r="K419" s="598"/>
      <c r="L419" s="355"/>
      <c r="M419" s="355"/>
      <c r="N419" s="355"/>
      <c r="O419" s="355"/>
      <c r="R419" s="355"/>
      <c r="S419" s="355"/>
      <c r="T419" s="355"/>
      <c r="U419" s="355"/>
      <c r="V419" s="355"/>
      <c r="W419" s="355"/>
      <c r="X419" s="355"/>
      <c r="Y419" s="355"/>
      <c r="Z419" s="355"/>
      <c r="AA419" s="355"/>
      <c r="AB419" s="355"/>
      <c r="AC419" s="355"/>
      <c r="AD419" s="355"/>
      <c r="AE419" s="355"/>
      <c r="AF419" s="355"/>
      <c r="AG419" s="355"/>
      <c r="AH419" s="355"/>
    </row>
    <row r="420" spans="1:34" x14ac:dyDescent="0.2">
      <c r="A420" s="355"/>
      <c r="B420" s="355"/>
      <c r="C420" s="355"/>
      <c r="D420" s="355"/>
      <c r="E420" s="355"/>
      <c r="F420" s="355"/>
      <c r="G420" s="355"/>
      <c r="H420" s="355"/>
      <c r="I420" s="355"/>
      <c r="J420" s="355"/>
      <c r="K420" s="598"/>
      <c r="L420" s="355"/>
      <c r="M420" s="355"/>
      <c r="N420" s="355"/>
      <c r="O420" s="355"/>
      <c r="R420" s="355"/>
      <c r="S420" s="355"/>
      <c r="T420" s="355"/>
      <c r="U420" s="355"/>
      <c r="V420" s="355"/>
      <c r="W420" s="355"/>
      <c r="X420" s="355"/>
      <c r="Y420" s="355"/>
      <c r="Z420" s="355"/>
      <c r="AA420" s="355"/>
      <c r="AB420" s="355"/>
      <c r="AC420" s="355"/>
      <c r="AD420" s="355"/>
      <c r="AE420" s="355"/>
      <c r="AF420" s="355"/>
      <c r="AG420" s="355"/>
      <c r="AH420" s="355"/>
    </row>
    <row r="421" spans="1:34" x14ac:dyDescent="0.2">
      <c r="A421" s="355"/>
      <c r="B421" s="355"/>
      <c r="C421" s="355"/>
      <c r="D421" s="355"/>
      <c r="E421" s="355"/>
      <c r="F421" s="355"/>
      <c r="G421" s="355"/>
      <c r="H421" s="355"/>
      <c r="I421" s="355"/>
      <c r="J421" s="355"/>
      <c r="K421" s="598"/>
      <c r="L421" s="355"/>
      <c r="M421" s="355"/>
      <c r="N421" s="355"/>
      <c r="O421" s="355"/>
      <c r="R421" s="355"/>
      <c r="S421" s="355"/>
      <c r="T421" s="355"/>
      <c r="U421" s="355"/>
      <c r="V421" s="355"/>
      <c r="W421" s="355"/>
      <c r="X421" s="355"/>
      <c r="Y421" s="355"/>
      <c r="Z421" s="355"/>
      <c r="AA421" s="355"/>
      <c r="AB421" s="355"/>
      <c r="AC421" s="355"/>
      <c r="AD421" s="355"/>
      <c r="AE421" s="355"/>
      <c r="AF421" s="355"/>
      <c r="AG421" s="355"/>
      <c r="AH421" s="355"/>
    </row>
    <row r="422" spans="1:34" x14ac:dyDescent="0.2">
      <c r="A422" s="355"/>
      <c r="B422" s="355"/>
      <c r="C422" s="355"/>
      <c r="D422" s="355"/>
      <c r="E422" s="355"/>
      <c r="F422" s="355"/>
      <c r="G422" s="355"/>
      <c r="H422" s="355"/>
      <c r="I422" s="355"/>
      <c r="J422" s="355"/>
      <c r="K422" s="598"/>
      <c r="L422" s="355"/>
      <c r="M422" s="355"/>
      <c r="N422" s="355"/>
      <c r="O422" s="355"/>
      <c r="R422" s="355"/>
      <c r="S422" s="355"/>
      <c r="T422" s="355"/>
      <c r="U422" s="355"/>
      <c r="V422" s="355"/>
      <c r="W422" s="355"/>
      <c r="X422" s="355"/>
      <c r="Y422" s="355"/>
      <c r="Z422" s="355"/>
      <c r="AA422" s="355"/>
      <c r="AB422" s="355"/>
      <c r="AC422" s="355"/>
      <c r="AD422" s="355"/>
      <c r="AE422" s="355"/>
      <c r="AF422" s="355"/>
      <c r="AG422" s="355"/>
      <c r="AH422" s="355"/>
    </row>
    <row r="423" spans="1:34" x14ac:dyDescent="0.2">
      <c r="A423" s="355"/>
      <c r="B423" s="355"/>
      <c r="C423" s="355"/>
      <c r="D423" s="355"/>
      <c r="E423" s="355"/>
      <c r="F423" s="355"/>
      <c r="G423" s="355"/>
      <c r="H423" s="355"/>
      <c r="I423" s="355"/>
      <c r="J423" s="355"/>
      <c r="K423" s="598"/>
      <c r="L423" s="355"/>
      <c r="M423" s="355"/>
      <c r="N423" s="355"/>
      <c r="O423" s="355"/>
      <c r="R423" s="355"/>
      <c r="S423" s="355"/>
      <c r="T423" s="355"/>
      <c r="U423" s="355"/>
      <c r="V423" s="355"/>
      <c r="W423" s="355"/>
      <c r="X423" s="355"/>
      <c r="Y423" s="355"/>
      <c r="Z423" s="355"/>
      <c r="AA423" s="355"/>
      <c r="AB423" s="355"/>
      <c r="AC423" s="355"/>
      <c r="AD423" s="355"/>
      <c r="AE423" s="355"/>
      <c r="AF423" s="355"/>
      <c r="AG423" s="355"/>
      <c r="AH423" s="355"/>
    </row>
    <row r="424" spans="1:34" x14ac:dyDescent="0.2">
      <c r="A424" s="355"/>
      <c r="B424" s="355"/>
      <c r="C424" s="355"/>
      <c r="D424" s="355"/>
      <c r="E424" s="355"/>
      <c r="F424" s="355"/>
      <c r="G424" s="355"/>
      <c r="H424" s="355"/>
      <c r="I424" s="355"/>
      <c r="J424" s="355"/>
      <c r="K424" s="598"/>
      <c r="L424" s="355"/>
      <c r="M424" s="355"/>
      <c r="N424" s="355"/>
      <c r="O424" s="355"/>
      <c r="R424" s="355"/>
      <c r="S424" s="355"/>
      <c r="T424" s="355"/>
      <c r="U424" s="355"/>
      <c r="V424" s="355"/>
      <c r="W424" s="355"/>
      <c r="X424" s="355"/>
      <c r="Y424" s="355"/>
      <c r="Z424" s="355"/>
      <c r="AA424" s="355"/>
      <c r="AB424" s="355"/>
      <c r="AC424" s="355"/>
      <c r="AD424" s="355"/>
      <c r="AE424" s="355"/>
      <c r="AF424" s="355"/>
      <c r="AG424" s="355"/>
      <c r="AH424" s="355"/>
    </row>
    <row r="425" spans="1:34" x14ac:dyDescent="0.2">
      <c r="A425" s="355"/>
      <c r="B425" s="355"/>
      <c r="C425" s="355"/>
      <c r="D425" s="355"/>
      <c r="E425" s="355"/>
      <c r="F425" s="355"/>
      <c r="G425" s="355"/>
      <c r="H425" s="355"/>
      <c r="I425" s="355"/>
      <c r="J425" s="355"/>
      <c r="K425" s="598"/>
      <c r="L425" s="355"/>
      <c r="M425" s="355"/>
      <c r="N425" s="355"/>
      <c r="O425" s="355"/>
      <c r="R425" s="355"/>
      <c r="S425" s="355"/>
      <c r="T425" s="355"/>
      <c r="U425" s="355"/>
      <c r="V425" s="355"/>
      <c r="W425" s="355"/>
      <c r="X425" s="355"/>
      <c r="Y425" s="355"/>
      <c r="Z425" s="355"/>
      <c r="AA425" s="355"/>
      <c r="AB425" s="355"/>
      <c r="AC425" s="355"/>
      <c r="AD425" s="355"/>
      <c r="AE425" s="355"/>
      <c r="AF425" s="355"/>
      <c r="AG425" s="355"/>
      <c r="AH425" s="355"/>
    </row>
    <row r="426" spans="1:34" x14ac:dyDescent="0.2">
      <c r="A426" s="355"/>
      <c r="B426" s="355"/>
      <c r="C426" s="355"/>
      <c r="D426" s="355"/>
      <c r="E426" s="355"/>
      <c r="F426" s="355"/>
      <c r="G426" s="355"/>
      <c r="H426" s="355"/>
      <c r="I426" s="355"/>
      <c r="J426" s="355"/>
      <c r="K426" s="598"/>
      <c r="L426" s="355"/>
      <c r="M426" s="355"/>
      <c r="N426" s="355"/>
      <c r="O426" s="355"/>
      <c r="R426" s="355"/>
      <c r="S426" s="355"/>
      <c r="T426" s="355"/>
      <c r="U426" s="355"/>
      <c r="V426" s="355"/>
      <c r="W426" s="355"/>
      <c r="X426" s="355"/>
      <c r="Y426" s="355"/>
      <c r="Z426" s="355"/>
      <c r="AA426" s="355"/>
      <c r="AB426" s="355"/>
      <c r="AC426" s="355"/>
      <c r="AD426" s="355"/>
      <c r="AE426" s="355"/>
      <c r="AF426" s="355"/>
      <c r="AG426" s="355"/>
      <c r="AH426" s="355"/>
    </row>
    <row r="427" spans="1:34" x14ac:dyDescent="0.2">
      <c r="A427" s="355"/>
      <c r="B427" s="355"/>
      <c r="C427" s="355"/>
      <c r="D427" s="355"/>
      <c r="E427" s="355"/>
      <c r="F427" s="355"/>
      <c r="G427" s="355"/>
      <c r="H427" s="355"/>
      <c r="I427" s="355"/>
      <c r="J427" s="355"/>
      <c r="K427" s="598"/>
      <c r="L427" s="355"/>
      <c r="M427" s="355"/>
      <c r="N427" s="355"/>
      <c r="O427" s="355"/>
      <c r="R427" s="355"/>
      <c r="S427" s="355"/>
      <c r="T427" s="355"/>
      <c r="U427" s="355"/>
      <c r="V427" s="355"/>
      <c r="W427" s="355"/>
      <c r="X427" s="355"/>
      <c r="Y427" s="355"/>
      <c r="Z427" s="355"/>
      <c r="AA427" s="355"/>
      <c r="AB427" s="355"/>
      <c r="AC427" s="355"/>
      <c r="AD427" s="355"/>
      <c r="AE427" s="355"/>
      <c r="AF427" s="355"/>
      <c r="AG427" s="355"/>
      <c r="AH427" s="355"/>
    </row>
    <row r="428" spans="1:34" x14ac:dyDescent="0.2">
      <c r="A428" s="355"/>
      <c r="B428" s="355"/>
      <c r="C428" s="355"/>
      <c r="D428" s="355"/>
      <c r="E428" s="355"/>
      <c r="F428" s="355"/>
      <c r="G428" s="355"/>
      <c r="H428" s="355"/>
      <c r="I428" s="355"/>
      <c r="J428" s="355"/>
      <c r="K428" s="598"/>
      <c r="L428" s="355"/>
      <c r="M428" s="355"/>
      <c r="N428" s="355"/>
      <c r="O428" s="355"/>
      <c r="R428" s="355"/>
      <c r="S428" s="355"/>
      <c r="T428" s="355"/>
      <c r="U428" s="355"/>
      <c r="V428" s="355"/>
      <c r="W428" s="355"/>
      <c r="X428" s="355"/>
      <c r="Y428" s="355"/>
      <c r="Z428" s="355"/>
      <c r="AA428" s="355"/>
      <c r="AB428" s="355"/>
      <c r="AC428" s="355"/>
      <c r="AD428" s="355"/>
      <c r="AE428" s="355"/>
      <c r="AF428" s="355"/>
      <c r="AG428" s="355"/>
      <c r="AH428" s="355"/>
    </row>
    <row r="429" spans="1:34" x14ac:dyDescent="0.2">
      <c r="A429" s="355"/>
      <c r="B429" s="355"/>
      <c r="C429" s="355"/>
      <c r="D429" s="355"/>
      <c r="E429" s="355"/>
      <c r="F429" s="355"/>
      <c r="G429" s="355"/>
      <c r="H429" s="355"/>
      <c r="I429" s="355"/>
      <c r="J429" s="355"/>
      <c r="K429" s="598"/>
      <c r="L429" s="355"/>
      <c r="M429" s="355"/>
      <c r="N429" s="355"/>
      <c r="O429" s="355"/>
      <c r="R429" s="355"/>
      <c r="S429" s="355"/>
      <c r="T429" s="355"/>
      <c r="U429" s="355"/>
      <c r="V429" s="355"/>
      <c r="W429" s="355"/>
      <c r="X429" s="355"/>
      <c r="Y429" s="355"/>
      <c r="Z429" s="355"/>
      <c r="AA429" s="355"/>
      <c r="AB429" s="355"/>
      <c r="AC429" s="355"/>
      <c r="AD429" s="355"/>
      <c r="AE429" s="355"/>
      <c r="AF429" s="355"/>
      <c r="AG429" s="355"/>
      <c r="AH429" s="355"/>
    </row>
    <row r="430" spans="1:34" x14ac:dyDescent="0.2">
      <c r="A430" s="355"/>
      <c r="B430" s="355"/>
      <c r="C430" s="355"/>
      <c r="D430" s="355"/>
      <c r="E430" s="355"/>
      <c r="F430" s="355"/>
      <c r="G430" s="355"/>
      <c r="H430" s="355"/>
      <c r="I430" s="355"/>
      <c r="J430" s="355"/>
      <c r="K430" s="598"/>
      <c r="L430" s="355"/>
      <c r="M430" s="355"/>
      <c r="N430" s="355"/>
      <c r="O430" s="355"/>
      <c r="R430" s="355"/>
      <c r="S430" s="355"/>
      <c r="T430" s="355"/>
      <c r="U430" s="355"/>
      <c r="V430" s="355"/>
      <c r="W430" s="355"/>
      <c r="X430" s="355"/>
      <c r="Y430" s="355"/>
      <c r="Z430" s="355"/>
      <c r="AA430" s="355"/>
      <c r="AB430" s="355"/>
      <c r="AC430" s="355"/>
      <c r="AD430" s="355"/>
      <c r="AE430" s="355"/>
      <c r="AF430" s="355"/>
      <c r="AG430" s="355"/>
      <c r="AH430" s="355"/>
    </row>
    <row r="431" spans="1:34" x14ac:dyDescent="0.2">
      <c r="A431" s="355"/>
      <c r="B431" s="355"/>
      <c r="C431" s="355"/>
      <c r="D431" s="355"/>
      <c r="E431" s="355"/>
      <c r="F431" s="355"/>
      <c r="G431" s="355"/>
      <c r="H431" s="355"/>
      <c r="I431" s="355"/>
      <c r="J431" s="355"/>
      <c r="K431" s="598"/>
      <c r="L431" s="355"/>
      <c r="M431" s="355"/>
      <c r="N431" s="355"/>
      <c r="O431" s="355"/>
      <c r="R431" s="355"/>
      <c r="S431" s="355"/>
      <c r="T431" s="355"/>
      <c r="U431" s="355"/>
      <c r="V431" s="355"/>
      <c r="W431" s="355"/>
      <c r="X431" s="355"/>
      <c r="Y431" s="355"/>
      <c r="Z431" s="355"/>
      <c r="AA431" s="355"/>
      <c r="AB431" s="355"/>
      <c r="AC431" s="355"/>
      <c r="AD431" s="355"/>
      <c r="AE431" s="355"/>
      <c r="AF431" s="355"/>
      <c r="AG431" s="355"/>
      <c r="AH431" s="355"/>
    </row>
    <row r="432" spans="1:34" x14ac:dyDescent="0.2">
      <c r="A432" s="355"/>
      <c r="B432" s="355"/>
      <c r="C432" s="355"/>
      <c r="D432" s="355"/>
      <c r="E432" s="355"/>
      <c r="F432" s="355"/>
      <c r="G432" s="355"/>
      <c r="H432" s="355"/>
      <c r="I432" s="355"/>
      <c r="J432" s="355"/>
      <c r="K432" s="598"/>
      <c r="L432" s="355"/>
      <c r="M432" s="355"/>
      <c r="N432" s="355"/>
      <c r="O432" s="355"/>
      <c r="R432" s="355"/>
      <c r="S432" s="355"/>
      <c r="T432" s="355"/>
      <c r="U432" s="355"/>
      <c r="V432" s="355"/>
      <c r="W432" s="355"/>
      <c r="X432" s="355"/>
      <c r="Y432" s="355"/>
      <c r="Z432" s="355"/>
      <c r="AA432" s="355"/>
      <c r="AB432" s="355"/>
      <c r="AC432" s="355"/>
      <c r="AD432" s="355"/>
      <c r="AE432" s="355"/>
      <c r="AF432" s="355"/>
      <c r="AG432" s="355"/>
      <c r="AH432" s="355"/>
    </row>
    <row r="433" spans="1:34" x14ac:dyDescent="0.2">
      <c r="A433" s="355"/>
      <c r="B433" s="355"/>
      <c r="C433" s="355"/>
      <c r="D433" s="355"/>
      <c r="E433" s="355"/>
      <c r="F433" s="355"/>
      <c r="G433" s="355"/>
      <c r="H433" s="355"/>
      <c r="I433" s="355"/>
      <c r="J433" s="355"/>
      <c r="K433" s="598"/>
      <c r="L433" s="355"/>
      <c r="M433" s="355"/>
      <c r="N433" s="355"/>
      <c r="O433" s="355"/>
      <c r="R433" s="355"/>
      <c r="S433" s="355"/>
      <c r="T433" s="355"/>
      <c r="U433" s="355"/>
      <c r="V433" s="355"/>
      <c r="W433" s="355"/>
      <c r="X433" s="355"/>
      <c r="Y433" s="355"/>
      <c r="Z433" s="355"/>
      <c r="AA433" s="355"/>
      <c r="AB433" s="355"/>
      <c r="AC433" s="355"/>
      <c r="AD433" s="355"/>
      <c r="AE433" s="355"/>
      <c r="AF433" s="355"/>
      <c r="AG433" s="355"/>
      <c r="AH433" s="355"/>
    </row>
    <row r="434" spans="1:34" x14ac:dyDescent="0.2">
      <c r="A434" s="355"/>
      <c r="B434" s="355"/>
      <c r="C434" s="355"/>
      <c r="D434" s="355"/>
      <c r="E434" s="355"/>
      <c r="F434" s="355"/>
      <c r="G434" s="355"/>
      <c r="H434" s="355"/>
      <c r="I434" s="355"/>
      <c r="J434" s="355"/>
      <c r="K434" s="598"/>
      <c r="L434" s="355"/>
      <c r="M434" s="355"/>
      <c r="N434" s="355"/>
      <c r="O434" s="355"/>
      <c r="R434" s="355"/>
      <c r="S434" s="355"/>
      <c r="T434" s="355"/>
      <c r="U434" s="355"/>
      <c r="V434" s="355"/>
      <c r="W434" s="355"/>
      <c r="X434" s="355"/>
      <c r="Y434" s="355"/>
      <c r="Z434" s="355"/>
      <c r="AA434" s="355"/>
      <c r="AB434" s="355"/>
      <c r="AC434" s="355"/>
      <c r="AD434" s="355"/>
      <c r="AE434" s="355"/>
      <c r="AF434" s="355"/>
      <c r="AG434" s="355"/>
      <c r="AH434" s="355"/>
    </row>
    <row r="435" spans="1:34" x14ac:dyDescent="0.2">
      <c r="A435" s="355"/>
      <c r="B435" s="355"/>
      <c r="C435" s="355"/>
      <c r="D435" s="355"/>
      <c r="E435" s="355"/>
      <c r="F435" s="355"/>
      <c r="G435" s="355"/>
      <c r="H435" s="355"/>
      <c r="I435" s="355"/>
      <c r="J435" s="355"/>
      <c r="K435" s="598"/>
      <c r="L435" s="355"/>
      <c r="M435" s="355"/>
      <c r="N435" s="355"/>
      <c r="O435" s="355"/>
      <c r="R435" s="355"/>
      <c r="S435" s="355"/>
      <c r="T435" s="355"/>
      <c r="U435" s="355"/>
      <c r="V435" s="355"/>
      <c r="W435" s="355"/>
      <c r="X435" s="355"/>
      <c r="Y435" s="355"/>
      <c r="Z435" s="355"/>
      <c r="AA435" s="355"/>
      <c r="AB435" s="355"/>
      <c r="AC435" s="355"/>
      <c r="AD435" s="355"/>
      <c r="AE435" s="355"/>
      <c r="AF435" s="355"/>
      <c r="AG435" s="355"/>
      <c r="AH435" s="355"/>
    </row>
    <row r="436" spans="1:34" x14ac:dyDescent="0.2">
      <c r="A436" s="355"/>
      <c r="B436" s="355"/>
      <c r="C436" s="355"/>
      <c r="D436" s="355"/>
      <c r="E436" s="355"/>
      <c r="F436" s="355"/>
      <c r="G436" s="355"/>
      <c r="H436" s="355"/>
      <c r="I436" s="355"/>
      <c r="J436" s="355"/>
      <c r="K436" s="598"/>
      <c r="L436" s="355"/>
      <c r="M436" s="355"/>
      <c r="N436" s="355"/>
      <c r="O436" s="355"/>
      <c r="R436" s="355"/>
      <c r="S436" s="355"/>
      <c r="T436" s="355"/>
      <c r="U436" s="355"/>
      <c r="V436" s="355"/>
      <c r="W436" s="355"/>
      <c r="X436" s="355"/>
      <c r="Y436" s="355"/>
      <c r="Z436" s="355"/>
      <c r="AA436" s="355"/>
      <c r="AB436" s="355"/>
      <c r="AC436" s="355"/>
      <c r="AD436" s="355"/>
      <c r="AE436" s="355"/>
      <c r="AF436" s="355"/>
      <c r="AG436" s="355"/>
      <c r="AH436" s="355"/>
    </row>
    <row r="437" spans="1:34" x14ac:dyDescent="0.2">
      <c r="A437" s="355"/>
      <c r="B437" s="355"/>
      <c r="C437" s="355"/>
      <c r="D437" s="355"/>
      <c r="E437" s="355"/>
      <c r="F437" s="355"/>
      <c r="G437" s="355"/>
      <c r="H437" s="355"/>
      <c r="I437" s="355"/>
      <c r="J437" s="355"/>
      <c r="K437" s="598"/>
      <c r="L437" s="355"/>
      <c r="M437" s="355"/>
      <c r="N437" s="355"/>
      <c r="O437" s="355"/>
      <c r="R437" s="355"/>
      <c r="S437" s="355"/>
      <c r="T437" s="355"/>
      <c r="U437" s="355"/>
      <c r="V437" s="355"/>
      <c r="W437" s="355"/>
      <c r="X437" s="355"/>
      <c r="Y437" s="355"/>
      <c r="Z437" s="355"/>
      <c r="AA437" s="355"/>
      <c r="AB437" s="355"/>
      <c r="AC437" s="355"/>
      <c r="AD437" s="355"/>
      <c r="AE437" s="355"/>
      <c r="AF437" s="355"/>
      <c r="AG437" s="355"/>
      <c r="AH437" s="355"/>
    </row>
    <row r="438" spans="1:34" x14ac:dyDescent="0.2">
      <c r="A438" s="355"/>
      <c r="B438" s="355"/>
      <c r="C438" s="355"/>
      <c r="D438" s="355"/>
      <c r="E438" s="355"/>
      <c r="F438" s="355"/>
      <c r="G438" s="355"/>
      <c r="H438" s="355"/>
      <c r="I438" s="355"/>
      <c r="J438" s="355"/>
      <c r="K438" s="598"/>
      <c r="L438" s="355"/>
      <c r="M438" s="355"/>
      <c r="N438" s="355"/>
      <c r="O438" s="355"/>
      <c r="R438" s="355"/>
      <c r="S438" s="355"/>
      <c r="T438" s="355"/>
      <c r="U438" s="355"/>
      <c r="V438" s="355"/>
      <c r="W438" s="355"/>
      <c r="X438" s="355"/>
      <c r="Y438" s="355"/>
      <c r="Z438" s="355"/>
      <c r="AA438" s="355"/>
      <c r="AB438" s="355"/>
      <c r="AC438" s="355"/>
      <c r="AD438" s="355"/>
      <c r="AE438" s="355"/>
      <c r="AF438" s="355"/>
      <c r="AG438" s="355"/>
      <c r="AH438" s="355"/>
    </row>
    <row r="439" spans="1:34" x14ac:dyDescent="0.2">
      <c r="A439" s="355"/>
      <c r="B439" s="355"/>
      <c r="C439" s="355"/>
      <c r="D439" s="355"/>
      <c r="E439" s="355"/>
      <c r="F439" s="355"/>
      <c r="G439" s="355"/>
      <c r="H439" s="355"/>
      <c r="I439" s="355"/>
      <c r="J439" s="355"/>
      <c r="K439" s="598"/>
      <c r="L439" s="355"/>
      <c r="M439" s="355"/>
      <c r="N439" s="355"/>
      <c r="O439" s="355"/>
      <c r="R439" s="355"/>
      <c r="S439" s="355"/>
      <c r="T439" s="355"/>
      <c r="U439" s="355"/>
      <c r="V439" s="355"/>
      <c r="W439" s="355"/>
      <c r="X439" s="355"/>
      <c r="Y439" s="355"/>
      <c r="Z439" s="355"/>
      <c r="AA439" s="355"/>
      <c r="AB439" s="355"/>
      <c r="AC439" s="355"/>
      <c r="AD439" s="355"/>
      <c r="AE439" s="355"/>
      <c r="AF439" s="355"/>
      <c r="AG439" s="355"/>
      <c r="AH439" s="355"/>
    </row>
    <row r="440" spans="1:34" x14ac:dyDescent="0.2">
      <c r="A440" s="355"/>
      <c r="B440" s="355"/>
      <c r="C440" s="355"/>
      <c r="D440" s="355"/>
      <c r="E440" s="355"/>
      <c r="F440" s="355"/>
      <c r="G440" s="355"/>
      <c r="H440" s="355"/>
      <c r="I440" s="355"/>
      <c r="J440" s="355"/>
      <c r="K440" s="598"/>
      <c r="L440" s="355"/>
      <c r="M440" s="355"/>
      <c r="N440" s="355"/>
      <c r="O440" s="355"/>
      <c r="R440" s="355"/>
      <c r="S440" s="355"/>
      <c r="T440" s="355"/>
      <c r="U440" s="355"/>
      <c r="V440" s="355"/>
      <c r="W440" s="355"/>
      <c r="X440" s="355"/>
      <c r="Y440" s="355"/>
      <c r="Z440" s="355"/>
      <c r="AA440" s="355"/>
      <c r="AB440" s="355"/>
      <c r="AC440" s="355"/>
      <c r="AD440" s="355"/>
      <c r="AE440" s="355"/>
      <c r="AF440" s="355"/>
      <c r="AG440" s="355"/>
      <c r="AH440" s="355"/>
    </row>
    <row r="441" spans="1:34" x14ac:dyDescent="0.2">
      <c r="A441" s="355"/>
      <c r="B441" s="355"/>
      <c r="C441" s="355"/>
      <c r="D441" s="355"/>
      <c r="E441" s="355"/>
      <c r="F441" s="355"/>
      <c r="G441" s="355"/>
      <c r="H441" s="355"/>
      <c r="I441" s="355"/>
      <c r="J441" s="355"/>
      <c r="K441" s="598"/>
      <c r="L441" s="355"/>
      <c r="M441" s="355"/>
      <c r="N441" s="355"/>
      <c r="O441" s="355"/>
      <c r="R441" s="355"/>
      <c r="S441" s="355"/>
      <c r="T441" s="355"/>
      <c r="U441" s="355"/>
      <c r="V441" s="355"/>
      <c r="W441" s="355"/>
      <c r="X441" s="355"/>
      <c r="Y441" s="355"/>
      <c r="Z441" s="355"/>
      <c r="AA441" s="355"/>
      <c r="AB441" s="355"/>
      <c r="AC441" s="355"/>
      <c r="AD441" s="355"/>
      <c r="AE441" s="355"/>
      <c r="AF441" s="355"/>
      <c r="AG441" s="355"/>
      <c r="AH441" s="355"/>
    </row>
    <row r="442" spans="1:34" x14ac:dyDescent="0.2">
      <c r="A442" s="355"/>
      <c r="B442" s="355"/>
      <c r="C442" s="355"/>
      <c r="D442" s="355"/>
      <c r="E442" s="355"/>
      <c r="F442" s="355"/>
      <c r="G442" s="355"/>
      <c r="H442" s="355"/>
      <c r="I442" s="355"/>
      <c r="J442" s="355"/>
      <c r="K442" s="598"/>
      <c r="L442" s="355"/>
      <c r="M442" s="355"/>
      <c r="N442" s="355"/>
      <c r="O442" s="355"/>
      <c r="R442" s="355"/>
      <c r="S442" s="355"/>
      <c r="T442" s="355"/>
      <c r="U442" s="355"/>
      <c r="V442" s="355"/>
      <c r="W442" s="355"/>
      <c r="X442" s="355"/>
      <c r="Y442" s="355"/>
      <c r="Z442" s="355"/>
      <c r="AA442" s="355"/>
      <c r="AB442" s="355"/>
      <c r="AC442" s="355"/>
      <c r="AD442" s="355"/>
      <c r="AE442" s="355"/>
      <c r="AF442" s="355"/>
      <c r="AG442" s="355"/>
      <c r="AH442" s="355"/>
    </row>
    <row r="443" spans="1:34" x14ac:dyDescent="0.2">
      <c r="A443" s="355"/>
      <c r="B443" s="355"/>
      <c r="C443" s="355"/>
      <c r="D443" s="355"/>
      <c r="E443" s="355"/>
      <c r="F443" s="355"/>
      <c r="G443" s="355"/>
      <c r="H443" s="355"/>
      <c r="I443" s="355"/>
      <c r="J443" s="355"/>
      <c r="K443" s="598"/>
      <c r="L443" s="355"/>
      <c r="M443" s="355"/>
      <c r="N443" s="355"/>
      <c r="O443" s="355"/>
      <c r="R443" s="355"/>
      <c r="S443" s="355"/>
      <c r="T443" s="355"/>
      <c r="U443" s="355"/>
      <c r="V443" s="355"/>
      <c r="W443" s="355"/>
      <c r="X443" s="355"/>
      <c r="Y443" s="355"/>
      <c r="Z443" s="355"/>
      <c r="AA443" s="355"/>
      <c r="AB443" s="355"/>
      <c r="AC443" s="355"/>
      <c r="AD443" s="355"/>
      <c r="AE443" s="355"/>
      <c r="AF443" s="355"/>
      <c r="AG443" s="355"/>
      <c r="AH443" s="355"/>
    </row>
    <row r="444" spans="1:34" x14ac:dyDescent="0.2">
      <c r="A444" s="355"/>
      <c r="B444" s="355"/>
      <c r="C444" s="355"/>
      <c r="D444" s="355"/>
      <c r="E444" s="355"/>
      <c r="F444" s="355"/>
      <c r="G444" s="355"/>
      <c r="H444" s="355"/>
      <c r="I444" s="355"/>
      <c r="J444" s="355"/>
      <c r="K444" s="598"/>
      <c r="L444" s="355"/>
      <c r="M444" s="355"/>
      <c r="N444" s="355"/>
      <c r="O444" s="355"/>
      <c r="R444" s="355"/>
      <c r="S444" s="355"/>
      <c r="T444" s="355"/>
      <c r="U444" s="355"/>
      <c r="V444" s="355"/>
      <c r="W444" s="355"/>
      <c r="X444" s="355"/>
      <c r="Y444" s="355"/>
      <c r="Z444" s="355"/>
      <c r="AA444" s="355"/>
      <c r="AB444" s="355"/>
      <c r="AC444" s="355"/>
      <c r="AD444" s="355"/>
      <c r="AE444" s="355"/>
      <c r="AF444" s="355"/>
      <c r="AG444" s="355"/>
      <c r="AH444" s="355"/>
    </row>
    <row r="445" spans="1:34" x14ac:dyDescent="0.2">
      <c r="A445" s="355"/>
      <c r="B445" s="355"/>
      <c r="C445" s="355"/>
      <c r="D445" s="355"/>
      <c r="E445" s="355"/>
      <c r="F445" s="355"/>
      <c r="G445" s="355"/>
      <c r="H445" s="355"/>
      <c r="I445" s="355"/>
      <c r="J445" s="355"/>
      <c r="K445" s="598"/>
      <c r="L445" s="355"/>
      <c r="M445" s="355"/>
      <c r="N445" s="355"/>
      <c r="O445" s="355"/>
      <c r="R445" s="355"/>
      <c r="S445" s="355"/>
      <c r="T445" s="355"/>
      <c r="U445" s="355"/>
      <c r="V445" s="355"/>
      <c r="W445" s="355"/>
      <c r="X445" s="355"/>
      <c r="Y445" s="355"/>
      <c r="Z445" s="355"/>
      <c r="AA445" s="355"/>
      <c r="AB445" s="355"/>
      <c r="AC445" s="355"/>
      <c r="AD445" s="355"/>
      <c r="AE445" s="355"/>
      <c r="AF445" s="355"/>
      <c r="AG445" s="355"/>
      <c r="AH445" s="355"/>
    </row>
    <row r="446" spans="1:34" x14ac:dyDescent="0.2">
      <c r="A446" s="355"/>
      <c r="B446" s="355"/>
      <c r="C446" s="355"/>
      <c r="D446" s="355"/>
      <c r="E446" s="355"/>
      <c r="F446" s="355"/>
      <c r="G446" s="355"/>
      <c r="H446" s="355"/>
      <c r="I446" s="355"/>
      <c r="J446" s="355"/>
      <c r="K446" s="598"/>
      <c r="L446" s="355"/>
      <c r="M446" s="355"/>
      <c r="N446" s="355"/>
      <c r="O446" s="355"/>
      <c r="R446" s="355"/>
      <c r="S446" s="355"/>
      <c r="T446" s="355"/>
      <c r="U446" s="355"/>
      <c r="V446" s="355"/>
      <c r="W446" s="355"/>
      <c r="X446" s="355"/>
      <c r="Y446" s="355"/>
      <c r="Z446" s="355"/>
      <c r="AA446" s="355"/>
      <c r="AB446" s="355"/>
      <c r="AC446" s="355"/>
      <c r="AD446" s="355"/>
      <c r="AE446" s="355"/>
      <c r="AF446" s="355"/>
      <c r="AG446" s="355"/>
      <c r="AH446" s="355"/>
    </row>
    <row r="447" spans="1:34" x14ac:dyDescent="0.2">
      <c r="A447" s="355"/>
      <c r="B447" s="355"/>
      <c r="C447" s="355"/>
      <c r="D447" s="355"/>
      <c r="E447" s="355"/>
      <c r="F447" s="355"/>
      <c r="G447" s="355"/>
      <c r="H447" s="355"/>
      <c r="I447" s="355"/>
      <c r="J447" s="355"/>
      <c r="K447" s="598"/>
      <c r="L447" s="355"/>
      <c r="M447" s="355"/>
      <c r="N447" s="355"/>
      <c r="O447" s="355"/>
      <c r="R447" s="355"/>
      <c r="S447" s="355"/>
      <c r="T447" s="355"/>
      <c r="U447" s="355"/>
      <c r="V447" s="355"/>
      <c r="W447" s="355"/>
      <c r="X447" s="355"/>
      <c r="Y447" s="355"/>
      <c r="Z447" s="355"/>
      <c r="AA447" s="355"/>
      <c r="AB447" s="355"/>
      <c r="AC447" s="355"/>
      <c r="AD447" s="355"/>
      <c r="AE447" s="355"/>
      <c r="AF447" s="355"/>
      <c r="AG447" s="355"/>
      <c r="AH447" s="355"/>
    </row>
  </sheetData>
  <sheetProtection algorithmName="SHA-512" hashValue="2u5EFSfW+59HiTDvHepy+xi7a4ZaWLAvjy/Dw0zXm4tt+ih1+bz/KbK0Af6Qhm1bSuY+tYVUwYVSLrk5qWRZHA==" saltValue="12jFIBoK8ivT6Hy8KcNB6Q==" spinCount="100000" sheet="1" formatCells="0"/>
  <mergeCells count="45">
    <mergeCell ref="C107:C108"/>
    <mergeCell ref="C111:C112"/>
    <mergeCell ref="K65:L65"/>
    <mergeCell ref="K69:L69"/>
    <mergeCell ref="C65:J65"/>
    <mergeCell ref="C69:J69"/>
    <mergeCell ref="K71:L71"/>
    <mergeCell ref="C40:M40"/>
    <mergeCell ref="M51:M53"/>
    <mergeCell ref="I43:J43"/>
    <mergeCell ref="I45:J45"/>
    <mergeCell ref="I51:J51"/>
    <mergeCell ref="I53:J53"/>
    <mergeCell ref="C116:L116"/>
    <mergeCell ref="C31:I31"/>
    <mergeCell ref="C25:H25"/>
    <mergeCell ref="C14:H14"/>
    <mergeCell ref="A1:O1"/>
    <mergeCell ref="H7:N10"/>
    <mergeCell ref="C21:H21"/>
    <mergeCell ref="C23:H23"/>
    <mergeCell ref="C5:N5"/>
    <mergeCell ref="C16:N16"/>
    <mergeCell ref="C18:G19"/>
    <mergeCell ref="C15:M15"/>
    <mergeCell ref="I55:J55"/>
    <mergeCell ref="C27:H27"/>
    <mergeCell ref="C29:H29"/>
    <mergeCell ref="K51:L53"/>
    <mergeCell ref="R56:R59"/>
    <mergeCell ref="R72:R74"/>
    <mergeCell ref="M98:M99"/>
    <mergeCell ref="D98:H99"/>
    <mergeCell ref="I47:J47"/>
    <mergeCell ref="I49:J49"/>
    <mergeCell ref="D49:H49"/>
    <mergeCell ref="D47:H47"/>
    <mergeCell ref="K55:L55"/>
    <mergeCell ref="K66:L66"/>
    <mergeCell ref="K67:L67"/>
    <mergeCell ref="C67:J67"/>
    <mergeCell ref="B66:J66"/>
    <mergeCell ref="K73:L73"/>
    <mergeCell ref="K75:L75"/>
    <mergeCell ref="E73:J73"/>
  </mergeCells>
  <phoneticPr fontId="30" type="noConversion"/>
  <conditionalFormatting sqref="K65:K66 K69">
    <cfRule type="cellIs" dxfId="16" priority="10" stopIfTrue="1" operator="notEqual">
      <formula>"N/A"</formula>
    </cfRule>
  </conditionalFormatting>
  <conditionalFormatting sqref="H11:M12 H7:N10">
    <cfRule type="cellIs" dxfId="15" priority="11" stopIfTrue="1" operator="equal">
      <formula>"These funding streams do not apply to Nursery Schools"</formula>
    </cfRule>
    <cfRule type="cellIs" dxfId="14" priority="12" stopIfTrue="1" operator="equal">
      <formula>"Special schools are not eligible for Key Stage 1 Class Size or Significant Pupil Increase Funding"</formula>
    </cfRule>
  </conditionalFormatting>
  <conditionalFormatting sqref="M57">
    <cfRule type="expression" dxfId="13" priority="2">
      <formula>$P$57=1</formula>
    </cfRule>
  </conditionalFormatting>
  <pageMargins left="0.59055118110236227" right="0.59055118110236227" top="0.59055118110236227" bottom="0.59055118110236227" header="0.19685039370078741" footer="0.19685039370078741"/>
  <pageSetup paperSize="9" scale="72" fitToHeight="0" orientation="portrait" blackAndWhite="1" r:id="rId1"/>
  <headerFooter alignWithMargins="0">
    <oddHeader>&amp;R&amp;F</oddHeader>
    <oddFooter>&amp;LFormat prepared by the Schools Finance Team&amp;RPrinted on &amp;D
at &amp;T</oddFooter>
  </headerFooter>
  <rowBreaks count="1" manualBreakCount="1">
    <brk id="77" max="14" man="1"/>
  </rowBreaks>
  <colBreaks count="1" manualBreakCount="1">
    <brk id="15" max="1048575" man="1"/>
  </col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47"/>
  </sheetPr>
  <dimension ref="A1:W230"/>
  <sheetViews>
    <sheetView zoomScale="80" zoomScaleNormal="80" workbookViewId="0">
      <pane xSplit="1" ySplit="6" topLeftCell="B28" activePane="bottomRight" state="frozen"/>
      <selection activeCell="F27" sqref="F27"/>
      <selection pane="topRight" activeCell="F27" sqref="F27"/>
      <selection pane="bottomLeft" activeCell="F27" sqref="F27"/>
      <selection pane="bottomRight" activeCell="B4" sqref="B4:C4"/>
    </sheetView>
  </sheetViews>
  <sheetFormatPr defaultColWidth="9.140625" defaultRowHeight="12.75" x14ac:dyDescent="0.2"/>
  <cols>
    <col min="1" max="1" width="37.5703125" style="437" customWidth="1"/>
    <col min="2" max="13" width="11.7109375" style="437" customWidth="1"/>
    <col min="14" max="14" width="15.7109375" style="443" customWidth="1"/>
    <col min="15" max="15" width="21" style="450" hidden="1" customWidth="1"/>
    <col min="16" max="16" width="20.5703125" style="437" bestFit="1" customWidth="1"/>
    <col min="17" max="17" width="2.5703125" style="437" customWidth="1"/>
    <col min="18" max="18" width="7.7109375" style="437" customWidth="1"/>
    <col min="19" max="19" width="3.42578125" style="437" customWidth="1"/>
    <col min="20" max="20" width="15.7109375" style="437" customWidth="1"/>
    <col min="21" max="21" width="3.42578125" style="437" customWidth="1"/>
    <col min="22" max="22" width="15.7109375" style="437" customWidth="1"/>
    <col min="23" max="23" width="3.42578125" style="437" customWidth="1"/>
    <col min="24" max="24" width="15.7109375" style="437" customWidth="1"/>
    <col min="25" max="25" width="3.42578125" style="437" customWidth="1"/>
    <col min="26" max="26" width="15.7109375" style="437" customWidth="1"/>
    <col min="27" max="27" width="3.42578125" style="437" customWidth="1"/>
    <col min="28" max="16384" width="9.140625" style="437"/>
  </cols>
  <sheetData>
    <row r="1" spans="1:23" ht="21.75" customHeight="1" x14ac:dyDescent="0.2">
      <c r="A1" s="1255" t="str">
        <f>Summary!A1</f>
        <v>Matching Green CE P</v>
      </c>
      <c r="B1" s="1256"/>
      <c r="C1" s="1256"/>
      <c r="D1" s="1256"/>
      <c r="E1" s="1256"/>
      <c r="F1" s="1256"/>
      <c r="G1" s="1256"/>
      <c r="H1" s="1256"/>
      <c r="I1" s="1256"/>
      <c r="J1" s="1256"/>
      <c r="K1" s="1256"/>
      <c r="L1" s="1256"/>
      <c r="M1" s="1256"/>
      <c r="N1" s="1257"/>
      <c r="O1" s="436" t="s">
        <v>285</v>
      </c>
    </row>
    <row r="2" spans="1:23" ht="28.5" customHeight="1" x14ac:dyDescent="0.25">
      <c r="A2" s="438" t="str">
        <f>"Cash Flow "&amp;'Fin.Yr Lookups'!A5</f>
        <v>Cash Flow 2020-21</v>
      </c>
      <c r="B2" s="1263" t="str">
        <f>IF(ISNA(IF($N$148&lt;0," Warning: Your Bank Account Will Be Overdrawn In One Or More Months. You Will Need To Request A Cash Advance From The LA","")),"",IF($N$148&lt;0," Warning: Your Bank Account Will Be Overdrawn In One Or More Months. You Will Need To Request A Cash Advance From The LA",""))</f>
        <v xml:space="preserve"> Warning: Your Bank Account Will Be Overdrawn In One Or More Months. You Will Need To Request A Cash Advance From The LA</v>
      </c>
      <c r="C2" s="1263"/>
      <c r="D2" s="1263"/>
      <c r="E2" s="1263"/>
      <c r="F2" s="1263"/>
      <c r="G2" s="1263"/>
      <c r="H2" s="1263"/>
      <c r="I2" s="1263"/>
      <c r="J2" s="1263"/>
      <c r="K2" s="1263"/>
      <c r="L2" s="1263"/>
      <c r="M2" s="1263"/>
      <c r="N2" s="1263"/>
      <c r="O2" s="439" t="s">
        <v>267</v>
      </c>
      <c r="P2" s="440"/>
      <c r="Q2" s="440"/>
      <c r="R2" s="440"/>
      <c r="S2" s="440"/>
      <c r="T2" s="440"/>
      <c r="U2" s="440"/>
      <c r="V2" s="440"/>
      <c r="W2" s="440"/>
    </row>
    <row r="3" spans="1:23" ht="6" customHeight="1" thickBot="1" x14ac:dyDescent="0.25">
      <c r="B3" s="441"/>
      <c r="C3" s="441"/>
      <c r="D3" s="441"/>
      <c r="E3" s="441"/>
      <c r="F3" s="441"/>
      <c r="G3" s="441"/>
      <c r="H3" s="441"/>
      <c r="I3" s="441"/>
      <c r="J3" s="441"/>
      <c r="K3" s="441"/>
      <c r="L3" s="441"/>
      <c r="M3" s="441"/>
      <c r="N3" s="442"/>
      <c r="O3" s="439" t="s">
        <v>290</v>
      </c>
    </row>
    <row r="4" spans="1:23" ht="20.25" customHeight="1" thickBot="1" x14ac:dyDescent="0.25">
      <c r="A4" s="556" t="str">
        <f>"Cash Balance as at "&amp;'Fin.Yr Lookups'!A9</f>
        <v>Cash Balance as at 01/04/2020</v>
      </c>
      <c r="B4" s="1260"/>
      <c r="C4" s="1261"/>
      <c r="D4" s="444"/>
      <c r="E4" s="1262" t="s">
        <v>779</v>
      </c>
      <c r="F4" s="1262"/>
      <c r="G4" s="1262"/>
      <c r="H4" s="444"/>
      <c r="I4" s="444"/>
      <c r="J4" s="444"/>
      <c r="K4" s="444"/>
      <c r="L4" s="444"/>
      <c r="M4" s="445"/>
      <c r="O4" s="439" t="s">
        <v>292</v>
      </c>
    </row>
    <row r="5" spans="1:23" ht="6" customHeight="1" x14ac:dyDescent="0.2">
      <c r="O5" s="439" t="s">
        <v>293</v>
      </c>
    </row>
    <row r="6" spans="1:23" x14ac:dyDescent="0.2">
      <c r="B6" s="446" t="s">
        <v>269</v>
      </c>
      <c r="C6" s="446" t="s">
        <v>270</v>
      </c>
      <c r="D6" s="446" t="s">
        <v>271</v>
      </c>
      <c r="E6" s="446" t="s">
        <v>272</v>
      </c>
      <c r="F6" s="446" t="s">
        <v>273</v>
      </c>
      <c r="G6" s="446" t="s">
        <v>274</v>
      </c>
      <c r="H6" s="446" t="s">
        <v>275</v>
      </c>
      <c r="I6" s="446" t="s">
        <v>276</v>
      </c>
      <c r="J6" s="446" t="s">
        <v>277</v>
      </c>
      <c r="K6" s="446" t="s">
        <v>278</v>
      </c>
      <c r="L6" s="446" t="s">
        <v>279</v>
      </c>
      <c r="M6" s="446" t="s">
        <v>280</v>
      </c>
      <c r="N6" s="446" t="s">
        <v>266</v>
      </c>
      <c r="O6" s="439" t="s">
        <v>291</v>
      </c>
    </row>
    <row r="7" spans="1:23" ht="13.5" thickBot="1" x14ac:dyDescent="0.25">
      <c r="B7" s="446"/>
      <c r="C7" s="446"/>
      <c r="D7" s="446"/>
      <c r="E7" s="446"/>
      <c r="F7" s="446"/>
      <c r="G7" s="446"/>
      <c r="H7" s="446"/>
      <c r="I7" s="446"/>
      <c r="J7" s="446"/>
      <c r="K7" s="446"/>
      <c r="L7" s="446"/>
      <c r="M7" s="446"/>
      <c r="N7" s="446"/>
      <c r="O7" s="439" t="s">
        <v>294</v>
      </c>
    </row>
    <row r="8" spans="1:23" ht="13.5" thickBot="1" x14ac:dyDescent="0.25">
      <c r="A8" s="447" t="s">
        <v>268</v>
      </c>
      <c r="B8" s="448" t="s">
        <v>269</v>
      </c>
      <c r="C8" s="448" t="s">
        <v>270</v>
      </c>
      <c r="D8" s="448" t="s">
        <v>271</v>
      </c>
      <c r="E8" s="448" t="s">
        <v>272</v>
      </c>
      <c r="F8" s="448" t="s">
        <v>273</v>
      </c>
      <c r="G8" s="448" t="s">
        <v>274</v>
      </c>
      <c r="H8" s="448" t="s">
        <v>275</v>
      </c>
      <c r="I8" s="448" t="s">
        <v>276</v>
      </c>
      <c r="J8" s="448" t="s">
        <v>277</v>
      </c>
      <c r="K8" s="448" t="s">
        <v>278</v>
      </c>
      <c r="L8" s="448" t="s">
        <v>279</v>
      </c>
      <c r="M8" s="448" t="s">
        <v>280</v>
      </c>
      <c r="N8" s="449" t="s">
        <v>266</v>
      </c>
    </row>
    <row r="9" spans="1:23" ht="15" thickBot="1" x14ac:dyDescent="0.25">
      <c r="A9" s="564" t="str">
        <f>'Fin.Yr Lookups'!A16&amp;" Year-End Debtors"</f>
        <v>2019-20 Year-End Debtors</v>
      </c>
      <c r="B9" s="320"/>
      <c r="C9" s="320"/>
      <c r="D9" s="320"/>
      <c r="E9" s="320"/>
      <c r="F9" s="320"/>
      <c r="G9" s="320"/>
      <c r="H9" s="320"/>
      <c r="I9" s="320"/>
      <c r="J9" s="320"/>
      <c r="K9" s="320"/>
      <c r="L9" s="320"/>
      <c r="M9" s="320"/>
      <c r="N9" s="451">
        <f>SUM(B9:M9)</f>
        <v>0</v>
      </c>
    </row>
    <row r="10" spans="1:23" x14ac:dyDescent="0.2">
      <c r="A10" s="452" t="s">
        <v>821</v>
      </c>
      <c r="B10" s="453">
        <f>Income!H19</f>
        <v>33994.5</v>
      </c>
      <c r="C10" s="453">
        <f>Income!I19</f>
        <v>33994.5</v>
      </c>
      <c r="D10" s="453">
        <f>Income!J19</f>
        <v>33994.5</v>
      </c>
      <c r="E10" s="453">
        <f>Income!K19</f>
        <v>33994.5</v>
      </c>
      <c r="F10" s="453">
        <f>Income!L19</f>
        <v>33994.5</v>
      </c>
      <c r="G10" s="453">
        <f>Income!M19</f>
        <v>33994.5</v>
      </c>
      <c r="H10" s="453">
        <f>Income!N19</f>
        <v>33994.5</v>
      </c>
      <c r="I10" s="453">
        <f>Income!O19</f>
        <v>33994.5</v>
      </c>
      <c r="J10" s="453">
        <f>Income!P19</f>
        <v>33994.5</v>
      </c>
      <c r="K10" s="453">
        <f>Income!Q19</f>
        <v>33994.5</v>
      </c>
      <c r="L10" s="453">
        <f>Income!R19</f>
        <v>33994.5</v>
      </c>
      <c r="M10" s="453">
        <f>Income!S19</f>
        <v>33994.5</v>
      </c>
      <c r="N10" s="454">
        <f>Income!D19</f>
        <v>407934</v>
      </c>
      <c r="R10" s="455" t="str">
        <f t="shared" ref="R10:R116" si="0">IF(O10="Check: Calculation Error",1,"")</f>
        <v/>
      </c>
    </row>
    <row r="11" spans="1:23" x14ac:dyDescent="0.2">
      <c r="A11" s="456" t="str">
        <f>Income!A21</f>
        <v>Section 251 Schools Block - PFI Funding</v>
      </c>
      <c r="B11" s="457">
        <f>Income!H21</f>
        <v>0</v>
      </c>
      <c r="C11" s="457">
        <f>Income!I21</f>
        <v>0</v>
      </c>
      <c r="D11" s="457">
        <f>Income!J21</f>
        <v>0</v>
      </c>
      <c r="E11" s="457">
        <f>Income!K21</f>
        <v>0</v>
      </c>
      <c r="F11" s="457">
        <f>Income!L21</f>
        <v>0</v>
      </c>
      <c r="G11" s="457">
        <f>Income!M21</f>
        <v>0</v>
      </c>
      <c r="H11" s="457">
        <f>Income!N21</f>
        <v>0</v>
      </c>
      <c r="I11" s="457">
        <f>Income!O21</f>
        <v>0</v>
      </c>
      <c r="J11" s="457">
        <f>Income!P21</f>
        <v>0</v>
      </c>
      <c r="K11" s="457">
        <f>Income!Q21</f>
        <v>0</v>
      </c>
      <c r="L11" s="457">
        <f>Income!R21</f>
        <v>0</v>
      </c>
      <c r="M11" s="457">
        <f>Income!S21</f>
        <v>0</v>
      </c>
      <c r="N11" s="458">
        <f>Income!D21</f>
        <v>0</v>
      </c>
      <c r="R11" s="455" t="str">
        <f t="shared" si="0"/>
        <v/>
      </c>
    </row>
    <row r="12" spans="1:23" x14ac:dyDescent="0.2">
      <c r="A12" s="456" t="str">
        <f>Income!A22</f>
        <v>High Needs: SEND &amp; EHCP Funding</v>
      </c>
      <c r="B12" s="457">
        <f>Income!H22</f>
        <v>0</v>
      </c>
      <c r="C12" s="457">
        <f>Income!I22</f>
        <v>0</v>
      </c>
      <c r="D12" s="457">
        <f>Income!J22</f>
        <v>0</v>
      </c>
      <c r="E12" s="457">
        <f>Income!K22</f>
        <v>0</v>
      </c>
      <c r="F12" s="457">
        <f>Income!L22</f>
        <v>0</v>
      </c>
      <c r="G12" s="457">
        <f>Income!M22</f>
        <v>0</v>
      </c>
      <c r="H12" s="457">
        <f>Income!N22</f>
        <v>0</v>
      </c>
      <c r="I12" s="457">
        <f>Income!O22</f>
        <v>0</v>
      </c>
      <c r="J12" s="457">
        <f>Income!P22</f>
        <v>0</v>
      </c>
      <c r="K12" s="457">
        <f>Income!Q22</f>
        <v>0</v>
      </c>
      <c r="L12" s="457">
        <f>Income!R22</f>
        <v>0</v>
      </c>
      <c r="M12" s="457">
        <f>Income!S22</f>
        <v>0</v>
      </c>
      <c r="N12" s="458">
        <f>Income!D22</f>
        <v>0</v>
      </c>
      <c r="R12" s="455" t="str">
        <f t="shared" si="0"/>
        <v/>
      </c>
    </row>
    <row r="13" spans="1:23" x14ac:dyDescent="0.2">
      <c r="A13" s="456" t="str">
        <f>Income!A23</f>
        <v>High Needs: Special Provision Funding</v>
      </c>
      <c r="B13" s="457">
        <f>Income!H23</f>
        <v>0</v>
      </c>
      <c r="C13" s="457">
        <f>Income!I23</f>
        <v>0</v>
      </c>
      <c r="D13" s="457">
        <f>Income!J23</f>
        <v>0</v>
      </c>
      <c r="E13" s="457">
        <f>Income!K23</f>
        <v>0</v>
      </c>
      <c r="F13" s="457">
        <f>Income!L23</f>
        <v>0</v>
      </c>
      <c r="G13" s="457">
        <f>Income!M23</f>
        <v>0</v>
      </c>
      <c r="H13" s="457">
        <f>Income!N23</f>
        <v>0</v>
      </c>
      <c r="I13" s="457">
        <f>Income!O23</f>
        <v>0</v>
      </c>
      <c r="J13" s="457">
        <f>Income!P23</f>
        <v>0</v>
      </c>
      <c r="K13" s="457">
        <f>Income!Q23</f>
        <v>0</v>
      </c>
      <c r="L13" s="457">
        <f>Income!R23</f>
        <v>0</v>
      </c>
      <c r="M13" s="457">
        <f>Income!S23</f>
        <v>0</v>
      </c>
      <c r="N13" s="458">
        <f>Income!D23</f>
        <v>0</v>
      </c>
      <c r="R13" s="455" t="str">
        <f t="shared" si="0"/>
        <v/>
      </c>
    </row>
    <row r="14" spans="1:23" x14ac:dyDescent="0.2">
      <c r="A14" s="456" t="str">
        <f>Income!A24</f>
        <v>Early Years Block Funding</v>
      </c>
      <c r="B14" s="457">
        <f>Income!H24</f>
        <v>0</v>
      </c>
      <c r="C14" s="457">
        <f>Income!I24</f>
        <v>0</v>
      </c>
      <c r="D14" s="457">
        <f>Income!J24</f>
        <v>0</v>
      </c>
      <c r="E14" s="457">
        <f>Income!K24</f>
        <v>0</v>
      </c>
      <c r="F14" s="457">
        <f>Income!L24</f>
        <v>0</v>
      </c>
      <c r="G14" s="457">
        <f>Income!M24</f>
        <v>0</v>
      </c>
      <c r="H14" s="457">
        <f>Income!N24</f>
        <v>0</v>
      </c>
      <c r="I14" s="457">
        <f>Income!O24</f>
        <v>0</v>
      </c>
      <c r="J14" s="457">
        <f>Income!P24</f>
        <v>0</v>
      </c>
      <c r="K14" s="457">
        <f>Income!Q24</f>
        <v>0</v>
      </c>
      <c r="L14" s="457">
        <f>Income!R24</f>
        <v>0</v>
      </c>
      <c r="M14" s="457">
        <f>Income!S24</f>
        <v>0</v>
      </c>
      <c r="N14" s="458">
        <f>Income!D24</f>
        <v>0</v>
      </c>
      <c r="R14" s="455" t="str">
        <f t="shared" si="0"/>
        <v/>
      </c>
    </row>
    <row r="15" spans="1:23" x14ac:dyDescent="0.2">
      <c r="A15" s="456" t="str">
        <f>Income!A25</f>
        <v>Pupil Premium Funding</v>
      </c>
      <c r="B15" s="457">
        <f>Income!H25</f>
        <v>0</v>
      </c>
      <c r="C15" s="457">
        <f>Income!I25</f>
        <v>0</v>
      </c>
      <c r="D15" s="457">
        <f>Income!J25</f>
        <v>0</v>
      </c>
      <c r="E15" s="457">
        <f>Income!K25</f>
        <v>4483</v>
      </c>
      <c r="F15" s="457">
        <f>Income!L25</f>
        <v>0</v>
      </c>
      <c r="G15" s="457">
        <f>Income!M25</f>
        <v>0</v>
      </c>
      <c r="H15" s="457">
        <f>Income!N25</f>
        <v>0</v>
      </c>
      <c r="I15" s="457">
        <f>Income!O25</f>
        <v>0</v>
      </c>
      <c r="J15" s="457">
        <f>Income!P25</f>
        <v>3587</v>
      </c>
      <c r="K15" s="457">
        <f>Income!Q25</f>
        <v>0</v>
      </c>
      <c r="L15" s="457">
        <f>Income!R25</f>
        <v>0</v>
      </c>
      <c r="M15" s="457">
        <f>Income!S25</f>
        <v>2690</v>
      </c>
      <c r="N15" s="458">
        <f>Income!D25</f>
        <v>10760</v>
      </c>
      <c r="R15" s="455" t="str">
        <f t="shared" si="0"/>
        <v/>
      </c>
    </row>
    <row r="16" spans="1:23" x14ac:dyDescent="0.2">
      <c r="A16" s="456" t="str">
        <f>Income!A26</f>
        <v>KS1 Class Size Funding</v>
      </c>
      <c r="B16" s="457">
        <f>Income!H26</f>
        <v>0</v>
      </c>
      <c r="C16" s="457">
        <f>Income!I26</f>
        <v>0</v>
      </c>
      <c r="D16" s="457">
        <f>Income!J26</f>
        <v>0</v>
      </c>
      <c r="E16" s="457">
        <f>Income!K26</f>
        <v>0</v>
      </c>
      <c r="F16" s="457">
        <f>Income!L26</f>
        <v>0</v>
      </c>
      <c r="G16" s="457">
        <f>Income!M26</f>
        <v>0</v>
      </c>
      <c r="H16" s="457">
        <f>Income!N26</f>
        <v>0</v>
      </c>
      <c r="I16" s="457">
        <f>Income!O26</f>
        <v>0</v>
      </c>
      <c r="J16" s="457">
        <f>Income!P26</f>
        <v>0</v>
      </c>
      <c r="K16" s="457">
        <f>Income!Q26</f>
        <v>9157</v>
      </c>
      <c r="L16" s="457">
        <f>Income!R26</f>
        <v>0</v>
      </c>
      <c r="M16" s="457">
        <f>Income!S26</f>
        <v>0</v>
      </c>
      <c r="N16" s="458">
        <f>Income!D26</f>
        <v>9157</v>
      </c>
      <c r="R16" s="455" t="str">
        <f t="shared" si="0"/>
        <v/>
      </c>
    </row>
    <row r="17" spans="1:18" x14ac:dyDescent="0.2">
      <c r="A17" s="456" t="str">
        <f>IF(Income!A27="Other: Please enter description","not in use",Income!A27)</f>
        <v>Universal Infant Free School Meal Funding (UIFSM)</v>
      </c>
      <c r="B17" s="457">
        <f>Income!H27</f>
        <v>0</v>
      </c>
      <c r="C17" s="457">
        <f>Income!I27</f>
        <v>0</v>
      </c>
      <c r="D17" s="457">
        <f>Income!J27</f>
        <v>0</v>
      </c>
      <c r="E17" s="457">
        <f>Income!K27</f>
        <v>13419</v>
      </c>
      <c r="F17" s="457">
        <f>Income!L27</f>
        <v>0</v>
      </c>
      <c r="G17" s="457">
        <f>Income!M27</f>
        <v>0</v>
      </c>
      <c r="H17" s="457">
        <f>Income!N27</f>
        <v>0</v>
      </c>
      <c r="I17" s="457">
        <f>Income!O27</f>
        <v>0</v>
      </c>
      <c r="J17" s="457">
        <f>Income!P27</f>
        <v>0</v>
      </c>
      <c r="K17" s="457">
        <f>Income!Q27</f>
        <v>0</v>
      </c>
      <c r="L17" s="457">
        <f>Income!R27</f>
        <v>0</v>
      </c>
      <c r="M17" s="457">
        <f>Income!S27</f>
        <v>0</v>
      </c>
      <c r="N17" s="458">
        <f>Income!D27</f>
        <v>13419</v>
      </c>
      <c r="R17" s="455" t="str">
        <f t="shared" si="0"/>
        <v/>
      </c>
    </row>
    <row r="18" spans="1:18" x14ac:dyDescent="0.2">
      <c r="A18" s="456" t="str">
        <f>IF(Income!A28="Other: Please enter description","not in use",Income!A28)</f>
        <v>Sports Grant Funding</v>
      </c>
      <c r="B18" s="457">
        <f>Income!H28</f>
        <v>6971</v>
      </c>
      <c r="C18" s="457">
        <f>Income!I28</f>
        <v>0</v>
      </c>
      <c r="D18" s="457">
        <f>Income!J28</f>
        <v>0</v>
      </c>
      <c r="E18" s="457">
        <f>Income!K28</f>
        <v>0</v>
      </c>
      <c r="F18" s="457">
        <f>Income!L28</f>
        <v>0</v>
      </c>
      <c r="G18" s="457">
        <f>Income!M28</f>
        <v>0</v>
      </c>
      <c r="H18" s="457">
        <f>Income!N28</f>
        <v>0</v>
      </c>
      <c r="I18" s="457">
        <f>Income!O28</f>
        <v>9759</v>
      </c>
      <c r="J18" s="457">
        <f>Income!P28</f>
        <v>0</v>
      </c>
      <c r="K18" s="457">
        <f>Income!Q28</f>
        <v>0</v>
      </c>
      <c r="L18" s="457">
        <f>Income!R28</f>
        <v>0</v>
      </c>
      <c r="M18" s="457">
        <f>Income!S28</f>
        <v>0</v>
      </c>
      <c r="N18" s="458">
        <f>Income!D28</f>
        <v>16730</v>
      </c>
      <c r="R18" s="455" t="str">
        <f t="shared" si="0"/>
        <v/>
      </c>
    </row>
    <row r="19" spans="1:18" x14ac:dyDescent="0.2">
      <c r="A19" s="456" t="str">
        <f>IF(Income!A29="Other: Please enter description","not in use",Income!A29)</f>
        <v>Teachers Pay Grant</v>
      </c>
      <c r="B19" s="457">
        <f>Income!H29</f>
        <v>1575</v>
      </c>
      <c r="C19" s="457" t="str">
        <f>Income!I29</f>
        <v/>
      </c>
      <c r="D19" s="457" t="str">
        <f>Income!J29</f>
        <v/>
      </c>
      <c r="E19" s="457" t="str">
        <f>Income!K29</f>
        <v/>
      </c>
      <c r="F19" s="457" t="str">
        <f>Income!L29</f>
        <v/>
      </c>
      <c r="G19" s="457" t="str">
        <f>Income!M29</f>
        <v/>
      </c>
      <c r="H19" s="457" t="str">
        <f>Income!N29</f>
        <v/>
      </c>
      <c r="I19" s="457">
        <f>Income!O29</f>
        <v>2205</v>
      </c>
      <c r="J19" s="457" t="str">
        <f>Income!P29</f>
        <v/>
      </c>
      <c r="K19" s="457" t="str">
        <f>Income!Q29</f>
        <v/>
      </c>
      <c r="L19" s="457" t="str">
        <f>Income!R29</f>
        <v/>
      </c>
      <c r="M19" s="457" t="str">
        <f>Income!S29</f>
        <v/>
      </c>
      <c r="N19" s="458">
        <f>Income!D29</f>
        <v>4846</v>
      </c>
      <c r="R19" s="455" t="str">
        <f t="shared" si="0"/>
        <v/>
      </c>
    </row>
    <row r="20" spans="1:18" x14ac:dyDescent="0.2">
      <c r="A20" s="456" t="str">
        <f>IF(Income!A30="Other: Please enter description","not in use",Income!A30)</f>
        <v>Teachers Pension Grant</v>
      </c>
      <c r="B20" s="457">
        <f>Income!H30</f>
        <v>4448.75</v>
      </c>
      <c r="C20" s="457" t="str">
        <f>Income!I30</f>
        <v/>
      </c>
      <c r="D20" s="457" t="str">
        <f>Income!J30</f>
        <v/>
      </c>
      <c r="E20" s="457" t="str">
        <f>Income!K30</f>
        <v/>
      </c>
      <c r="F20" s="457" t="str">
        <f>Income!L30</f>
        <v/>
      </c>
      <c r="G20" s="457" t="str">
        <f>Income!M30</f>
        <v/>
      </c>
      <c r="H20" s="457" t="str">
        <f>Income!N30</f>
        <v/>
      </c>
      <c r="I20" s="457">
        <f>Income!O30</f>
        <v>6228</v>
      </c>
      <c r="J20" s="457" t="str">
        <f>Income!P30</f>
        <v/>
      </c>
      <c r="K20" s="457" t="str">
        <f>Income!Q30</f>
        <v/>
      </c>
      <c r="L20" s="457" t="str">
        <f>Income!R30</f>
        <v/>
      </c>
      <c r="M20" s="457" t="str">
        <f>Income!S30</f>
        <v/>
      </c>
      <c r="N20" s="458">
        <f>Income!D30</f>
        <v>13689</v>
      </c>
      <c r="R20" s="455" t="str">
        <f t="shared" si="0"/>
        <v/>
      </c>
    </row>
    <row r="21" spans="1:18" x14ac:dyDescent="0.2">
      <c r="A21" s="456" t="str">
        <f>IF(Income!A31="Other: Please enter description","not in use",Income!A31)</f>
        <v>not in use</v>
      </c>
      <c r="B21" s="457" t="str">
        <f>Income!H31</f>
        <v/>
      </c>
      <c r="C21" s="457" t="str">
        <f>Income!I31</f>
        <v/>
      </c>
      <c r="D21" s="457" t="str">
        <f>Income!J31</f>
        <v/>
      </c>
      <c r="E21" s="457" t="str">
        <f>Income!K31</f>
        <v/>
      </c>
      <c r="F21" s="457" t="str">
        <f>Income!L31</f>
        <v/>
      </c>
      <c r="G21" s="457" t="str">
        <f>Income!M31</f>
        <v/>
      </c>
      <c r="H21" s="457" t="str">
        <f>Income!N31</f>
        <v/>
      </c>
      <c r="I21" s="457" t="str">
        <f>Income!O31</f>
        <v/>
      </c>
      <c r="J21" s="457" t="str">
        <f>Income!P31</f>
        <v/>
      </c>
      <c r="K21" s="457" t="str">
        <f>Income!Q31</f>
        <v/>
      </c>
      <c r="L21" s="457" t="str">
        <f>Income!R31</f>
        <v/>
      </c>
      <c r="M21" s="457" t="str">
        <f>Income!S31</f>
        <v/>
      </c>
      <c r="N21" s="458">
        <f>Income!D31</f>
        <v>0</v>
      </c>
      <c r="R21" s="455"/>
    </row>
    <row r="22" spans="1:18" x14ac:dyDescent="0.2">
      <c r="A22" s="456" t="str">
        <f>IF(Income!A32="Other: Please enter description","not in use",Income!A32)</f>
        <v>not in use</v>
      </c>
      <c r="B22" s="457" t="str">
        <f>Income!H32</f>
        <v/>
      </c>
      <c r="C22" s="457" t="str">
        <f>Income!I32</f>
        <v/>
      </c>
      <c r="D22" s="457" t="str">
        <f>Income!J32</f>
        <v/>
      </c>
      <c r="E22" s="457" t="str">
        <f>Income!K32</f>
        <v/>
      </c>
      <c r="F22" s="457" t="str">
        <f>Income!L32</f>
        <v/>
      </c>
      <c r="G22" s="457" t="str">
        <f>Income!M32</f>
        <v/>
      </c>
      <c r="H22" s="457" t="str">
        <f>Income!N32</f>
        <v/>
      </c>
      <c r="I22" s="457" t="str">
        <f>Income!O32</f>
        <v/>
      </c>
      <c r="J22" s="457" t="str">
        <f>Income!P32</f>
        <v/>
      </c>
      <c r="K22" s="457" t="str">
        <f>Income!Q32</f>
        <v/>
      </c>
      <c r="L22" s="457" t="str">
        <f>Income!R32</f>
        <v/>
      </c>
      <c r="M22" s="457" t="str">
        <f>Income!S32</f>
        <v/>
      </c>
      <c r="N22" s="458">
        <f>Income!D32</f>
        <v>0</v>
      </c>
      <c r="R22" s="455"/>
    </row>
    <row r="23" spans="1:18" x14ac:dyDescent="0.2">
      <c r="A23" s="456" t="str">
        <f>IF(Income!A33="Other: Please enter description","not in use",Income!A33)</f>
        <v>not in use</v>
      </c>
      <c r="B23" s="457" t="str">
        <f>Income!H33</f>
        <v/>
      </c>
      <c r="C23" s="457" t="str">
        <f>Income!I33</f>
        <v/>
      </c>
      <c r="D23" s="457" t="str">
        <f>Income!J33</f>
        <v/>
      </c>
      <c r="E23" s="457" t="str">
        <f>Income!K33</f>
        <v/>
      </c>
      <c r="F23" s="457" t="str">
        <f>Income!L33</f>
        <v/>
      </c>
      <c r="G23" s="457" t="str">
        <f>Income!M33</f>
        <v/>
      </c>
      <c r="H23" s="457" t="str">
        <f>Income!N33</f>
        <v/>
      </c>
      <c r="I23" s="457" t="str">
        <f>Income!O33</f>
        <v/>
      </c>
      <c r="J23" s="457" t="str">
        <f>Income!P33</f>
        <v/>
      </c>
      <c r="K23" s="457" t="str">
        <f>Income!Q33</f>
        <v/>
      </c>
      <c r="L23" s="457" t="str">
        <f>Income!R33</f>
        <v/>
      </c>
      <c r="M23" s="457" t="str">
        <f>Income!S33</f>
        <v/>
      </c>
      <c r="N23" s="458">
        <f>Income!D33</f>
        <v>0</v>
      </c>
      <c r="R23" s="455"/>
    </row>
    <row r="24" spans="1:18" x14ac:dyDescent="0.2">
      <c r="A24" s="456" t="str">
        <f>IF(Income!A34="Other: Please enter description","not in use",Income!A34)</f>
        <v>not in use</v>
      </c>
      <c r="B24" s="457" t="str">
        <f>Income!H34</f>
        <v/>
      </c>
      <c r="C24" s="457" t="str">
        <f>Income!I34</f>
        <v/>
      </c>
      <c r="D24" s="457" t="str">
        <f>Income!J34</f>
        <v/>
      </c>
      <c r="E24" s="457" t="str">
        <f>Income!K34</f>
        <v/>
      </c>
      <c r="F24" s="457" t="str">
        <f>Income!L34</f>
        <v/>
      </c>
      <c r="G24" s="457" t="str">
        <f>Income!M34</f>
        <v/>
      </c>
      <c r="H24" s="457" t="str">
        <f>Income!N34</f>
        <v/>
      </c>
      <c r="I24" s="457" t="str">
        <f>Income!O34</f>
        <v/>
      </c>
      <c r="J24" s="457" t="str">
        <f>Income!P34</f>
        <v/>
      </c>
      <c r="K24" s="457" t="str">
        <f>Income!Q34</f>
        <v/>
      </c>
      <c r="L24" s="457" t="str">
        <f>Income!R34</f>
        <v/>
      </c>
      <c r="M24" s="457" t="str">
        <f>Income!S34</f>
        <v/>
      </c>
      <c r="N24" s="458">
        <f>Income!D34</f>
        <v>0</v>
      </c>
      <c r="R24" s="455"/>
    </row>
    <row r="25" spans="1:18" x14ac:dyDescent="0.2">
      <c r="A25" s="456" t="str">
        <f>IF(Income!A35="Other: Please enter description","not in use",Income!A35)</f>
        <v>not in use</v>
      </c>
      <c r="B25" s="457" t="str">
        <f>Income!H35</f>
        <v/>
      </c>
      <c r="C25" s="457" t="str">
        <f>Income!I35</f>
        <v/>
      </c>
      <c r="D25" s="457" t="str">
        <f>Income!J35</f>
        <v/>
      </c>
      <c r="E25" s="457" t="str">
        <f>Income!K35</f>
        <v/>
      </c>
      <c r="F25" s="457" t="str">
        <f>Income!L35</f>
        <v/>
      </c>
      <c r="G25" s="457" t="str">
        <f>Income!M35</f>
        <v/>
      </c>
      <c r="H25" s="457" t="str">
        <f>Income!N35</f>
        <v/>
      </c>
      <c r="I25" s="457" t="str">
        <f>Income!O35</f>
        <v/>
      </c>
      <c r="J25" s="457" t="str">
        <f>Income!P35</f>
        <v/>
      </c>
      <c r="K25" s="457" t="str">
        <f>Income!Q35</f>
        <v/>
      </c>
      <c r="L25" s="457" t="str">
        <f>Income!R35</f>
        <v/>
      </c>
      <c r="M25" s="457" t="str">
        <f>Income!S35</f>
        <v/>
      </c>
      <c r="N25" s="458">
        <f>Income!D35</f>
        <v>0</v>
      </c>
      <c r="R25" s="455"/>
    </row>
    <row r="26" spans="1:18" x14ac:dyDescent="0.2">
      <c r="A26" s="456" t="str">
        <f>IF(Income!A36="Other: Please enter description","not in use",Income!A36)</f>
        <v>not in use</v>
      </c>
      <c r="B26" s="457" t="str">
        <f>Income!H36</f>
        <v/>
      </c>
      <c r="C26" s="457" t="str">
        <f>Income!I36</f>
        <v/>
      </c>
      <c r="D26" s="457" t="str">
        <f>Income!J36</f>
        <v/>
      </c>
      <c r="E26" s="457" t="str">
        <f>Income!K36</f>
        <v/>
      </c>
      <c r="F26" s="457" t="str">
        <f>Income!L36</f>
        <v/>
      </c>
      <c r="G26" s="457" t="str">
        <f>Income!M36</f>
        <v/>
      </c>
      <c r="H26" s="457" t="str">
        <f>Income!N36</f>
        <v/>
      </c>
      <c r="I26" s="457" t="str">
        <f>Income!O36</f>
        <v/>
      </c>
      <c r="J26" s="457" t="str">
        <f>Income!P36</f>
        <v/>
      </c>
      <c r="K26" s="457" t="str">
        <f>Income!Q36</f>
        <v/>
      </c>
      <c r="L26" s="457" t="str">
        <f>Income!R36</f>
        <v/>
      </c>
      <c r="M26" s="457" t="str">
        <f>Income!S36</f>
        <v/>
      </c>
      <c r="N26" s="458">
        <f>Income!D36</f>
        <v>0</v>
      </c>
      <c r="R26" s="455"/>
    </row>
    <row r="27" spans="1:18" x14ac:dyDescent="0.2">
      <c r="A27" s="456" t="str">
        <f>IF(Income!A37="Other: Please enter description","not in use",Income!A37)</f>
        <v>not in use</v>
      </c>
      <c r="B27" s="457" t="str">
        <f>Income!H37</f>
        <v/>
      </c>
      <c r="C27" s="457" t="str">
        <f>Income!I37</f>
        <v/>
      </c>
      <c r="D27" s="457" t="str">
        <f>Income!J37</f>
        <v/>
      </c>
      <c r="E27" s="457" t="str">
        <f>Income!K37</f>
        <v/>
      </c>
      <c r="F27" s="457" t="str">
        <f>Income!L37</f>
        <v/>
      </c>
      <c r="G27" s="457" t="str">
        <f>Income!M37</f>
        <v/>
      </c>
      <c r="H27" s="457" t="str">
        <f>Income!N37</f>
        <v/>
      </c>
      <c r="I27" s="457" t="str">
        <f>Income!O37</f>
        <v/>
      </c>
      <c r="J27" s="457" t="str">
        <f>Income!P37</f>
        <v/>
      </c>
      <c r="K27" s="457" t="str">
        <f>Income!Q37</f>
        <v/>
      </c>
      <c r="L27" s="457" t="str">
        <f>Income!R37</f>
        <v/>
      </c>
      <c r="M27" s="457" t="str">
        <f>Income!S37</f>
        <v/>
      </c>
      <c r="N27" s="458">
        <f>Income!D37</f>
        <v>0</v>
      </c>
      <c r="R27" s="455"/>
    </row>
    <row r="28" spans="1:18" x14ac:dyDescent="0.2">
      <c r="A28" s="456" t="str">
        <f>IF(Income!A38="Other: Please enter description","not in use",Income!A38)</f>
        <v>not in use</v>
      </c>
      <c r="B28" s="457" t="str">
        <f>Income!H38</f>
        <v/>
      </c>
      <c r="C28" s="457" t="str">
        <f>Income!I38</f>
        <v/>
      </c>
      <c r="D28" s="457" t="str">
        <f>Income!J38</f>
        <v/>
      </c>
      <c r="E28" s="457" t="str">
        <f>Income!K38</f>
        <v/>
      </c>
      <c r="F28" s="457" t="str">
        <f>Income!L38</f>
        <v/>
      </c>
      <c r="G28" s="457" t="str">
        <f>Income!M38</f>
        <v/>
      </c>
      <c r="H28" s="457" t="str">
        <f>Income!N38</f>
        <v/>
      </c>
      <c r="I28" s="457" t="str">
        <f>Income!O38</f>
        <v/>
      </c>
      <c r="J28" s="457" t="str">
        <f>Income!P38</f>
        <v/>
      </c>
      <c r="K28" s="457" t="str">
        <f>Income!Q38</f>
        <v/>
      </c>
      <c r="L28" s="457" t="str">
        <f>Income!R38</f>
        <v/>
      </c>
      <c r="M28" s="457" t="str">
        <f>Income!S38</f>
        <v/>
      </c>
      <c r="N28" s="458">
        <f>Income!D38</f>
        <v>0</v>
      </c>
      <c r="R28" s="455"/>
    </row>
    <row r="29" spans="1:18" x14ac:dyDescent="0.2">
      <c r="A29" s="456" t="str">
        <f>IF(Income!A39="Other: Please enter description","not in use",Income!A39)</f>
        <v>not in use</v>
      </c>
      <c r="B29" s="457" t="str">
        <f>Income!H39</f>
        <v/>
      </c>
      <c r="C29" s="457" t="str">
        <f>Income!I39</f>
        <v/>
      </c>
      <c r="D29" s="457" t="str">
        <f>Income!J39</f>
        <v/>
      </c>
      <c r="E29" s="457" t="str">
        <f>Income!K39</f>
        <v/>
      </c>
      <c r="F29" s="457" t="str">
        <f>Income!L39</f>
        <v/>
      </c>
      <c r="G29" s="457" t="str">
        <f>Income!M39</f>
        <v/>
      </c>
      <c r="H29" s="457" t="str">
        <f>Income!N39</f>
        <v/>
      </c>
      <c r="I29" s="457" t="str">
        <f>Income!O39</f>
        <v/>
      </c>
      <c r="J29" s="457" t="str">
        <f>Income!P39</f>
        <v/>
      </c>
      <c r="K29" s="457" t="str">
        <f>Income!Q39</f>
        <v/>
      </c>
      <c r="L29" s="457" t="str">
        <f>Income!R39</f>
        <v/>
      </c>
      <c r="M29" s="457" t="str">
        <f>Income!S39</f>
        <v/>
      </c>
      <c r="N29" s="458">
        <f>Income!D39</f>
        <v>0</v>
      </c>
      <c r="R29" s="455"/>
    </row>
    <row r="30" spans="1:18" x14ac:dyDescent="0.2">
      <c r="A30" s="456" t="str">
        <f>IF(Income!A40="Other: Please enter description","not in use",Income!A40)</f>
        <v>not in use</v>
      </c>
      <c r="B30" s="457" t="str">
        <f>Income!H40</f>
        <v/>
      </c>
      <c r="C30" s="457" t="str">
        <f>Income!I40</f>
        <v/>
      </c>
      <c r="D30" s="457" t="str">
        <f>Income!J40</f>
        <v/>
      </c>
      <c r="E30" s="457" t="str">
        <f>Income!K40</f>
        <v/>
      </c>
      <c r="F30" s="457" t="str">
        <f>Income!L40</f>
        <v/>
      </c>
      <c r="G30" s="457" t="str">
        <f>Income!M40</f>
        <v/>
      </c>
      <c r="H30" s="457" t="str">
        <f>Income!N40</f>
        <v/>
      </c>
      <c r="I30" s="457" t="str">
        <f>Income!O40</f>
        <v/>
      </c>
      <c r="J30" s="457" t="str">
        <f>Income!P40</f>
        <v/>
      </c>
      <c r="K30" s="457" t="str">
        <f>Income!Q40</f>
        <v/>
      </c>
      <c r="L30" s="457" t="str">
        <f>Income!R40</f>
        <v/>
      </c>
      <c r="M30" s="457" t="str">
        <f>Income!S40</f>
        <v/>
      </c>
      <c r="N30" s="458">
        <f>Income!D40</f>
        <v>0</v>
      </c>
      <c r="R30" s="455"/>
    </row>
    <row r="31" spans="1:18" x14ac:dyDescent="0.2">
      <c r="A31" s="456" t="str">
        <f>IF(Income!A41="Other: Please enter description","not in use",Income!A41)</f>
        <v>not in use</v>
      </c>
      <c r="B31" s="457" t="str">
        <f>Income!H41</f>
        <v/>
      </c>
      <c r="C31" s="457" t="str">
        <f>Income!I41</f>
        <v/>
      </c>
      <c r="D31" s="457" t="str">
        <f>Income!J41</f>
        <v/>
      </c>
      <c r="E31" s="457" t="str">
        <f>Income!K41</f>
        <v/>
      </c>
      <c r="F31" s="457" t="str">
        <f>Income!L41</f>
        <v/>
      </c>
      <c r="G31" s="457" t="str">
        <f>Income!M41</f>
        <v/>
      </c>
      <c r="H31" s="457" t="str">
        <f>Income!N41</f>
        <v/>
      </c>
      <c r="I31" s="457" t="str">
        <f>Income!O41</f>
        <v/>
      </c>
      <c r="J31" s="457" t="str">
        <f>Income!P41</f>
        <v/>
      </c>
      <c r="K31" s="457" t="str">
        <f>Income!Q41</f>
        <v/>
      </c>
      <c r="L31" s="457" t="str">
        <f>Income!R41</f>
        <v/>
      </c>
      <c r="M31" s="457" t="str">
        <f>Income!S41</f>
        <v/>
      </c>
      <c r="N31" s="458">
        <f>Income!D41</f>
        <v>0</v>
      </c>
      <c r="R31" s="455"/>
    </row>
    <row r="32" spans="1:18" x14ac:dyDescent="0.2">
      <c r="A32" s="456" t="str">
        <f>IF(Income!A42="Other: Please enter description","not in use",Income!A42)</f>
        <v>not in use</v>
      </c>
      <c r="B32" s="457" t="str">
        <f>Income!H42</f>
        <v/>
      </c>
      <c r="C32" s="457" t="str">
        <f>Income!I42</f>
        <v/>
      </c>
      <c r="D32" s="457" t="str">
        <f>Income!J42</f>
        <v/>
      </c>
      <c r="E32" s="457" t="str">
        <f>Income!K42</f>
        <v/>
      </c>
      <c r="F32" s="457" t="str">
        <f>Income!L42</f>
        <v/>
      </c>
      <c r="G32" s="457" t="str">
        <f>Income!M42</f>
        <v/>
      </c>
      <c r="H32" s="457" t="str">
        <f>Income!N42</f>
        <v/>
      </c>
      <c r="I32" s="457" t="str">
        <f>Income!O42</f>
        <v/>
      </c>
      <c r="J32" s="457" t="str">
        <f>Income!P42</f>
        <v/>
      </c>
      <c r="K32" s="457" t="str">
        <f>Income!Q42</f>
        <v/>
      </c>
      <c r="L32" s="457" t="str">
        <f>Income!R42</f>
        <v/>
      </c>
      <c r="M32" s="457" t="str">
        <f>Income!S42</f>
        <v/>
      </c>
      <c r="N32" s="458">
        <f>Income!D42</f>
        <v>0</v>
      </c>
      <c r="R32" s="455"/>
    </row>
    <row r="33" spans="1:18" x14ac:dyDescent="0.2">
      <c r="A33" s="456" t="str">
        <f>IF(Income!A43="Other: Please enter description","not in use",Income!A43)</f>
        <v>not in use</v>
      </c>
      <c r="B33" s="457" t="str">
        <f>Income!H43</f>
        <v/>
      </c>
      <c r="C33" s="457" t="str">
        <f>Income!I43</f>
        <v/>
      </c>
      <c r="D33" s="457" t="str">
        <f>Income!J43</f>
        <v/>
      </c>
      <c r="E33" s="457" t="str">
        <f>Income!K43</f>
        <v/>
      </c>
      <c r="F33" s="457" t="str">
        <f>Income!L43</f>
        <v/>
      </c>
      <c r="G33" s="457" t="str">
        <f>Income!M43</f>
        <v/>
      </c>
      <c r="H33" s="457" t="str">
        <f>Income!N43</f>
        <v/>
      </c>
      <c r="I33" s="457" t="str">
        <f>Income!O43</f>
        <v/>
      </c>
      <c r="J33" s="457" t="str">
        <f>Income!P43</f>
        <v/>
      </c>
      <c r="K33" s="457" t="str">
        <f>Income!Q43</f>
        <v/>
      </c>
      <c r="L33" s="457" t="str">
        <f>Income!R43</f>
        <v/>
      </c>
      <c r="M33" s="457" t="str">
        <f>Income!S43</f>
        <v/>
      </c>
      <c r="N33" s="458">
        <f>Income!D43</f>
        <v>0</v>
      </c>
      <c r="R33" s="455"/>
    </row>
    <row r="34" spans="1:18" x14ac:dyDescent="0.2">
      <c r="A34" s="459" t="s">
        <v>410</v>
      </c>
      <c r="B34" s="457">
        <f>SUM(Capital!L18:L20)+SUM(Capital!L22:L24)</f>
        <v>0</v>
      </c>
      <c r="C34" s="457">
        <f>SUM(Capital!M18:M20)+SUM(Capital!M22:M24)</f>
        <v>0</v>
      </c>
      <c r="D34" s="457">
        <f>SUM(Capital!N18:N20)+SUM(Capital!N22:N24)</f>
        <v>0</v>
      </c>
      <c r="E34" s="457">
        <f>SUM(Capital!O18:O20)+SUM(Capital!O22:O24)</f>
        <v>0</v>
      </c>
      <c r="F34" s="457">
        <f>SUM(Capital!P18:P20)+SUM(Capital!P22:P24)</f>
        <v>0</v>
      </c>
      <c r="G34" s="457">
        <f>SUM(Capital!Q18:Q20)+SUM(Capital!Q22:Q24)</f>
        <v>0</v>
      </c>
      <c r="H34" s="457">
        <f>SUM(Capital!R18:R20)+SUM(Capital!R22:R24)</f>
        <v>0</v>
      </c>
      <c r="I34" s="457">
        <f>SUM(Capital!S18:S20)+SUM(Capital!S22:S24)</f>
        <v>0</v>
      </c>
      <c r="J34" s="457">
        <f>SUM(Capital!T18:T20)+SUM(Capital!T22:T24)</f>
        <v>0</v>
      </c>
      <c r="K34" s="457">
        <f>SUM(Capital!U18:U20)+SUM(Capital!U22:U24)</f>
        <v>0</v>
      </c>
      <c r="L34" s="457">
        <f>SUM(Capital!V18:V20)+SUM(Capital!V22:V24)</f>
        <v>0</v>
      </c>
      <c r="M34" s="457">
        <f>SUM(Capital!W18:W20)+SUM(Capital!W22:W24)</f>
        <v>0</v>
      </c>
      <c r="N34" s="458">
        <f>Capital!H18+Capital!H19+Capital!H20+Capital!H22+Capital!H23+Capital!H24</f>
        <v>0</v>
      </c>
      <c r="R34" s="455" t="str">
        <f t="shared" si="0"/>
        <v/>
      </c>
    </row>
    <row r="35" spans="1:18" x14ac:dyDescent="0.2">
      <c r="A35" s="459" t="str">
        <f>IF(Income!A47="Other 1: Please enter description","not in use",Income!A47)</f>
        <v>Rent &amp; Lettings</v>
      </c>
      <c r="B35" s="457" t="str">
        <f>Income!H47</f>
        <v/>
      </c>
      <c r="C35" s="457" t="str">
        <f>Income!I47</f>
        <v/>
      </c>
      <c r="D35" s="457" t="str">
        <f>Income!J47</f>
        <v/>
      </c>
      <c r="E35" s="457" t="str">
        <f>Income!K47</f>
        <v/>
      </c>
      <c r="F35" s="457" t="str">
        <f>Income!L47</f>
        <v/>
      </c>
      <c r="G35" s="457" t="str">
        <f>Income!M47</f>
        <v/>
      </c>
      <c r="H35" s="457" t="str">
        <f>Income!N47</f>
        <v/>
      </c>
      <c r="I35" s="457" t="str">
        <f>Income!O47</f>
        <v/>
      </c>
      <c r="J35" s="457" t="str">
        <f>Income!P47</f>
        <v/>
      </c>
      <c r="K35" s="457" t="str">
        <f>Income!Q47</f>
        <v/>
      </c>
      <c r="L35" s="457" t="str">
        <f>Income!R47</f>
        <v/>
      </c>
      <c r="M35" s="457" t="str">
        <f>Income!S47</f>
        <v/>
      </c>
      <c r="N35" s="458">
        <f>Income!D47</f>
        <v>0</v>
      </c>
      <c r="R35" s="455" t="str">
        <f t="shared" si="0"/>
        <v/>
      </c>
    </row>
    <row r="36" spans="1:18" x14ac:dyDescent="0.2">
      <c r="A36" s="459" t="str">
        <f>IF(Income!A48="Other 1: Please enter description","not in use",Income!A48)</f>
        <v>Other Income</v>
      </c>
      <c r="B36" s="457" t="str">
        <f>Income!H48</f>
        <v/>
      </c>
      <c r="C36" s="457" t="str">
        <f>Income!I48</f>
        <v/>
      </c>
      <c r="D36" s="457" t="str">
        <f>Income!J48</f>
        <v/>
      </c>
      <c r="E36" s="457" t="str">
        <f>Income!K48</f>
        <v/>
      </c>
      <c r="F36" s="457" t="str">
        <f>Income!L48</f>
        <v/>
      </c>
      <c r="G36" s="457" t="str">
        <f>Income!M48</f>
        <v/>
      </c>
      <c r="H36" s="457" t="str">
        <f>Income!N48</f>
        <v/>
      </c>
      <c r="I36" s="457" t="str">
        <f>Income!O48</f>
        <v/>
      </c>
      <c r="J36" s="457" t="str">
        <f>Income!P48</f>
        <v/>
      </c>
      <c r="K36" s="457" t="str">
        <f>Income!Q48</f>
        <v/>
      </c>
      <c r="L36" s="457" t="str">
        <f>Income!R48</f>
        <v/>
      </c>
      <c r="M36" s="457" t="str">
        <f>Income!S48</f>
        <v/>
      </c>
      <c r="N36" s="458">
        <f>Income!D48</f>
        <v>0</v>
      </c>
      <c r="R36" s="455" t="str">
        <f t="shared" si="0"/>
        <v/>
      </c>
    </row>
    <row r="37" spans="1:18" x14ac:dyDescent="0.2">
      <c r="A37" s="459" t="str">
        <f>IF(Income!A49="Other: Please enter description","not in use",Income!A49)</f>
        <v>Catering Income</v>
      </c>
      <c r="B37" s="457">
        <f>Income!H49</f>
        <v>780</v>
      </c>
      <c r="C37" s="457">
        <f>Income!I49</f>
        <v>780</v>
      </c>
      <c r="D37" s="457">
        <f>Income!J49</f>
        <v>780</v>
      </c>
      <c r="E37" s="457">
        <f>Income!K49</f>
        <v>780</v>
      </c>
      <c r="F37" s="457">
        <f>Income!L49</f>
        <v>0</v>
      </c>
      <c r="G37" s="457">
        <f>Income!M49</f>
        <v>780</v>
      </c>
      <c r="H37" s="457">
        <f>Income!N49</f>
        <v>780</v>
      </c>
      <c r="I37" s="457">
        <f>Income!O49</f>
        <v>780</v>
      </c>
      <c r="J37" s="457">
        <f>Income!P49</f>
        <v>780</v>
      </c>
      <c r="K37" s="457">
        <f>Income!Q49</f>
        <v>780</v>
      </c>
      <c r="L37" s="457">
        <f>Income!R49</f>
        <v>780</v>
      </c>
      <c r="M37" s="457">
        <f>Income!S49</f>
        <v>780</v>
      </c>
      <c r="N37" s="458">
        <f>Income!D49</f>
        <v>8580</v>
      </c>
      <c r="R37" s="455" t="str">
        <f t="shared" si="0"/>
        <v/>
      </c>
    </row>
    <row r="38" spans="1:18" x14ac:dyDescent="0.2">
      <c r="A38" s="459" t="str">
        <f>IF(Income!A50="Other: Please enter description","not in use",Income!A50)</f>
        <v>Swimming Income</v>
      </c>
      <c r="B38" s="457">
        <f>Income!H50</f>
        <v>83.63636363636364</v>
      </c>
      <c r="C38" s="457">
        <f>Income!I50</f>
        <v>83.63636363636364</v>
      </c>
      <c r="D38" s="457">
        <f>Income!J50</f>
        <v>83.63636363636364</v>
      </c>
      <c r="E38" s="457">
        <f>Income!K50</f>
        <v>83.63636363636364</v>
      </c>
      <c r="F38" s="457">
        <f>Income!L50</f>
        <v>0</v>
      </c>
      <c r="G38" s="457">
        <f>Income!M50</f>
        <v>83.63636363636364</v>
      </c>
      <c r="H38" s="457">
        <f>Income!N50</f>
        <v>83.63636363636364</v>
      </c>
      <c r="I38" s="457">
        <f>Income!O50</f>
        <v>83.63636363636364</v>
      </c>
      <c r="J38" s="457">
        <f>Income!P50</f>
        <v>83.63636363636364</v>
      </c>
      <c r="K38" s="457">
        <f>Income!Q50</f>
        <v>83.63636363636364</v>
      </c>
      <c r="L38" s="457">
        <f>Income!R50</f>
        <v>83.63636363636364</v>
      </c>
      <c r="M38" s="457">
        <f>Income!S50</f>
        <v>83.63636363636364</v>
      </c>
      <c r="N38" s="458">
        <f>Income!D50</f>
        <v>920</v>
      </c>
      <c r="R38" s="455" t="str">
        <f t="shared" si="0"/>
        <v/>
      </c>
    </row>
    <row r="39" spans="1:18" x14ac:dyDescent="0.2">
      <c r="A39" s="459" t="str">
        <f>IF(Income!A51="Other: Please enter description","not in use",Income!A51)</f>
        <v>School Club Income</v>
      </c>
      <c r="B39" s="457">
        <f>Income!H51</f>
        <v>54.545454545454547</v>
      </c>
      <c r="C39" s="457">
        <f>Income!I51</f>
        <v>54.545454545454547</v>
      </c>
      <c r="D39" s="457">
        <f>Income!J51</f>
        <v>54.545454545454547</v>
      </c>
      <c r="E39" s="457">
        <f>Income!K51</f>
        <v>54.545454545454547</v>
      </c>
      <c r="F39" s="457">
        <f>Income!L51</f>
        <v>0</v>
      </c>
      <c r="G39" s="457">
        <f>Income!M51</f>
        <v>54.545454545454547</v>
      </c>
      <c r="H39" s="457">
        <f>Income!N51</f>
        <v>54.545454545454547</v>
      </c>
      <c r="I39" s="457">
        <f>Income!O51</f>
        <v>54.545454545454547</v>
      </c>
      <c r="J39" s="457">
        <f>Income!P51</f>
        <v>54.545454545454547</v>
      </c>
      <c r="K39" s="457">
        <f>Income!Q51</f>
        <v>54.545454545454547</v>
      </c>
      <c r="L39" s="457">
        <f>Income!R51</f>
        <v>54.545454545454547</v>
      </c>
      <c r="M39" s="457">
        <f>Income!S51</f>
        <v>54.545454545454547</v>
      </c>
      <c r="N39" s="458">
        <f>Income!D51</f>
        <v>600</v>
      </c>
      <c r="R39" s="455" t="str">
        <f t="shared" si="0"/>
        <v/>
      </c>
    </row>
    <row r="40" spans="1:18" x14ac:dyDescent="0.2">
      <c r="A40" s="459" t="str">
        <f>IF(Income!A52="Other: Please enter description","not in use",Income!A52)</f>
        <v>Breakfast Club Income</v>
      </c>
      <c r="B40" s="457">
        <f>Income!H52</f>
        <v>277.09090909090907</v>
      </c>
      <c r="C40" s="457">
        <f>Income!I52</f>
        <v>277.09090909090907</v>
      </c>
      <c r="D40" s="457">
        <f>Income!J52</f>
        <v>277.09090909090907</v>
      </c>
      <c r="E40" s="457">
        <f>Income!K52</f>
        <v>277.09090909090907</v>
      </c>
      <c r="F40" s="457">
        <f>Income!L52</f>
        <v>0</v>
      </c>
      <c r="G40" s="457">
        <f>Income!M52</f>
        <v>277.09090909090907</v>
      </c>
      <c r="H40" s="457">
        <f>Income!N52</f>
        <v>277.09090909090907</v>
      </c>
      <c r="I40" s="457">
        <f>Income!O52</f>
        <v>277.09090909090907</v>
      </c>
      <c r="J40" s="457">
        <f>Income!P52</f>
        <v>277.09090909090907</v>
      </c>
      <c r="K40" s="457">
        <f>Income!Q52</f>
        <v>277.09090909090907</v>
      </c>
      <c r="L40" s="457">
        <f>Income!R52</f>
        <v>277.09090909090907</v>
      </c>
      <c r="M40" s="457">
        <f>Income!S52</f>
        <v>277.09090909090907</v>
      </c>
      <c r="N40" s="458">
        <f>Income!D52</f>
        <v>3048</v>
      </c>
      <c r="R40" s="455"/>
    </row>
    <row r="41" spans="1:18" x14ac:dyDescent="0.2">
      <c r="A41" s="459" t="str">
        <f>IF(Income!A53="Other: Please enter description","not in use",Income!A53)</f>
        <v>SAS Maternity Insurance</v>
      </c>
      <c r="B41" s="457" t="str">
        <f>Income!H53</f>
        <v/>
      </c>
      <c r="C41" s="457" t="str">
        <f>Income!I53</f>
        <v/>
      </c>
      <c r="D41" s="457" t="str">
        <f>Income!J53</f>
        <v/>
      </c>
      <c r="E41" s="457" t="str">
        <f>Income!K53</f>
        <v/>
      </c>
      <c r="F41" s="457">
        <f>Income!L53</f>
        <v>4000</v>
      </c>
      <c r="G41" s="457" t="str">
        <f>Income!M53</f>
        <v/>
      </c>
      <c r="H41" s="457" t="str">
        <f>Income!N53</f>
        <v/>
      </c>
      <c r="I41" s="457" t="str">
        <f>Income!O53</f>
        <v/>
      </c>
      <c r="J41" s="457" t="str">
        <f>Income!P53</f>
        <v/>
      </c>
      <c r="K41" s="457" t="str">
        <f>Income!Q53</f>
        <v/>
      </c>
      <c r="L41" s="457" t="str">
        <f>Income!R53</f>
        <v/>
      </c>
      <c r="M41" s="457" t="str">
        <f>Income!S53</f>
        <v/>
      </c>
      <c r="N41" s="458">
        <f>Income!D53</f>
        <v>4480</v>
      </c>
      <c r="R41" s="455" t="str">
        <f t="shared" si="0"/>
        <v/>
      </c>
    </row>
    <row r="42" spans="1:18" x14ac:dyDescent="0.2">
      <c r="A42" s="459">
        <f>IF(Income!A54="Other: Please enter description","not in use",Income!A54)</f>
        <v>0</v>
      </c>
      <c r="B42" s="457" t="str">
        <f>Income!H54</f>
        <v/>
      </c>
      <c r="C42" s="457" t="str">
        <f>Income!I54</f>
        <v/>
      </c>
      <c r="D42" s="457" t="str">
        <f>Income!J54</f>
        <v/>
      </c>
      <c r="E42" s="457" t="str">
        <f>Income!K54</f>
        <v/>
      </c>
      <c r="F42" s="457" t="str">
        <f>Income!L54</f>
        <v/>
      </c>
      <c r="G42" s="457" t="str">
        <f>Income!M54</f>
        <v/>
      </c>
      <c r="H42" s="457" t="str">
        <f>Income!N54</f>
        <v/>
      </c>
      <c r="I42" s="457" t="str">
        <f>Income!O54</f>
        <v/>
      </c>
      <c r="J42" s="457" t="str">
        <f>Income!P54</f>
        <v/>
      </c>
      <c r="K42" s="457" t="str">
        <f>Income!Q54</f>
        <v/>
      </c>
      <c r="L42" s="457" t="str">
        <f>Income!R54</f>
        <v/>
      </c>
      <c r="M42" s="457" t="str">
        <f>Income!S54</f>
        <v/>
      </c>
      <c r="N42" s="458">
        <f>Income!D54</f>
        <v>0</v>
      </c>
      <c r="R42" s="455" t="str">
        <f t="shared" si="0"/>
        <v/>
      </c>
    </row>
    <row r="43" spans="1:18" x14ac:dyDescent="0.2">
      <c r="A43" s="459" t="str">
        <f>IF(Income!A55="Other: Please enter description","not in use",Income!A55)</f>
        <v>not in use</v>
      </c>
      <c r="B43" s="457" t="str">
        <f>Income!H55</f>
        <v/>
      </c>
      <c r="C43" s="457" t="str">
        <f>Income!I55</f>
        <v/>
      </c>
      <c r="D43" s="457" t="str">
        <f>Income!J55</f>
        <v/>
      </c>
      <c r="E43" s="457" t="str">
        <f>Income!K55</f>
        <v/>
      </c>
      <c r="F43" s="457" t="str">
        <f>Income!L55</f>
        <v/>
      </c>
      <c r="G43" s="457" t="str">
        <f>Income!M55</f>
        <v/>
      </c>
      <c r="H43" s="457" t="str">
        <f>Income!N55</f>
        <v/>
      </c>
      <c r="I43" s="457" t="str">
        <f>Income!O55</f>
        <v/>
      </c>
      <c r="J43" s="457" t="str">
        <f>Income!P55</f>
        <v/>
      </c>
      <c r="K43" s="457" t="str">
        <f>Income!Q55</f>
        <v/>
      </c>
      <c r="L43" s="457" t="str">
        <f>Income!R55</f>
        <v/>
      </c>
      <c r="M43" s="457" t="str">
        <f>Income!S55</f>
        <v/>
      </c>
      <c r="N43" s="458">
        <f>Income!D55</f>
        <v>0</v>
      </c>
      <c r="R43" s="455" t="str">
        <f t="shared" si="0"/>
        <v/>
      </c>
    </row>
    <row r="44" spans="1:18" x14ac:dyDescent="0.2">
      <c r="A44" s="459" t="str">
        <f>IF(Income!A56="Other: Please enter description","not in use",Income!A56)</f>
        <v>not in use</v>
      </c>
      <c r="B44" s="457" t="str">
        <f>Income!H56</f>
        <v/>
      </c>
      <c r="C44" s="457" t="str">
        <f>Income!I56</f>
        <v/>
      </c>
      <c r="D44" s="457" t="str">
        <f>Income!J56</f>
        <v/>
      </c>
      <c r="E44" s="457" t="str">
        <f>Income!K56</f>
        <v/>
      </c>
      <c r="F44" s="457" t="str">
        <f>Income!L56</f>
        <v/>
      </c>
      <c r="G44" s="457" t="str">
        <f>Income!M56</f>
        <v/>
      </c>
      <c r="H44" s="457" t="str">
        <f>Income!N56</f>
        <v/>
      </c>
      <c r="I44" s="457" t="str">
        <f>Income!O56</f>
        <v/>
      </c>
      <c r="J44" s="457" t="str">
        <f>Income!P56</f>
        <v/>
      </c>
      <c r="K44" s="457" t="str">
        <f>Income!Q56</f>
        <v/>
      </c>
      <c r="L44" s="457" t="str">
        <f>Income!R56</f>
        <v/>
      </c>
      <c r="M44" s="457" t="str">
        <f>Income!S56</f>
        <v/>
      </c>
      <c r="N44" s="458">
        <f>Income!D56</f>
        <v>0</v>
      </c>
      <c r="R44" s="455" t="str">
        <f t="shared" si="0"/>
        <v/>
      </c>
    </row>
    <row r="45" spans="1:18" x14ac:dyDescent="0.2">
      <c r="A45" s="459" t="str">
        <f>IF(Income!A57="Other: Please enter description","not in use",Income!A57)</f>
        <v>not in use</v>
      </c>
      <c r="B45" s="457" t="str">
        <f>Income!H57</f>
        <v/>
      </c>
      <c r="C45" s="457" t="str">
        <f>Income!I57</f>
        <v/>
      </c>
      <c r="D45" s="457" t="str">
        <f>Income!J57</f>
        <v/>
      </c>
      <c r="E45" s="457" t="str">
        <f>Income!K57</f>
        <v/>
      </c>
      <c r="F45" s="457" t="str">
        <f>Income!L57</f>
        <v/>
      </c>
      <c r="G45" s="457" t="str">
        <f>Income!M57</f>
        <v/>
      </c>
      <c r="H45" s="457" t="str">
        <f>Income!N57</f>
        <v/>
      </c>
      <c r="I45" s="457" t="str">
        <f>Income!O57</f>
        <v/>
      </c>
      <c r="J45" s="457" t="str">
        <f>Income!P57</f>
        <v/>
      </c>
      <c r="K45" s="457" t="str">
        <f>Income!Q57</f>
        <v/>
      </c>
      <c r="L45" s="457" t="str">
        <f>Income!R57</f>
        <v/>
      </c>
      <c r="M45" s="457" t="str">
        <f>Income!S57</f>
        <v/>
      </c>
      <c r="N45" s="458">
        <f>Income!D57</f>
        <v>0</v>
      </c>
      <c r="R45" s="455" t="str">
        <f t="shared" si="0"/>
        <v/>
      </c>
    </row>
    <row r="46" spans="1:18" x14ac:dyDescent="0.2">
      <c r="A46" s="459" t="str">
        <f>IF(Income!A58="Other: Please enter description","not in use",Income!A58)</f>
        <v>not in use</v>
      </c>
      <c r="B46" s="457" t="str">
        <f>Income!H58</f>
        <v/>
      </c>
      <c r="C46" s="457" t="str">
        <f>Income!I58</f>
        <v/>
      </c>
      <c r="D46" s="457" t="str">
        <f>Income!J58</f>
        <v/>
      </c>
      <c r="E46" s="457" t="str">
        <f>Income!K58</f>
        <v/>
      </c>
      <c r="F46" s="457" t="str">
        <f>Income!L58</f>
        <v/>
      </c>
      <c r="G46" s="457" t="str">
        <f>Income!M58</f>
        <v/>
      </c>
      <c r="H46" s="457" t="str">
        <f>Income!N58</f>
        <v/>
      </c>
      <c r="I46" s="457" t="str">
        <f>Income!O58</f>
        <v/>
      </c>
      <c r="J46" s="457" t="str">
        <f>Income!P58</f>
        <v/>
      </c>
      <c r="K46" s="457" t="str">
        <f>Income!Q58</f>
        <v/>
      </c>
      <c r="L46" s="457" t="str">
        <f>Income!R58</f>
        <v/>
      </c>
      <c r="M46" s="457" t="str">
        <f>Income!S58</f>
        <v/>
      </c>
      <c r="N46" s="458">
        <f>Income!D58</f>
        <v>0</v>
      </c>
      <c r="R46" s="455" t="str">
        <f t="shared" si="0"/>
        <v/>
      </c>
    </row>
    <row r="47" spans="1:18" x14ac:dyDescent="0.2">
      <c r="A47" s="459" t="str">
        <f>IF(Income!A59="Other: Please enter description","not in use",Income!A59)</f>
        <v>not in use</v>
      </c>
      <c r="B47" s="457" t="str">
        <f>Income!H59</f>
        <v/>
      </c>
      <c r="C47" s="457" t="str">
        <f>Income!I59</f>
        <v/>
      </c>
      <c r="D47" s="457" t="str">
        <f>Income!J59</f>
        <v/>
      </c>
      <c r="E47" s="457" t="str">
        <f>Income!K59</f>
        <v/>
      </c>
      <c r="F47" s="457" t="str">
        <f>Income!L59</f>
        <v/>
      </c>
      <c r="G47" s="457" t="str">
        <f>Income!M59</f>
        <v/>
      </c>
      <c r="H47" s="457" t="str">
        <f>Income!N59</f>
        <v/>
      </c>
      <c r="I47" s="457" t="str">
        <f>Income!O59</f>
        <v/>
      </c>
      <c r="J47" s="457" t="str">
        <f>Income!P59</f>
        <v/>
      </c>
      <c r="K47" s="457" t="str">
        <f>Income!Q59</f>
        <v/>
      </c>
      <c r="L47" s="457" t="str">
        <f>Income!R59</f>
        <v/>
      </c>
      <c r="M47" s="457" t="str">
        <f>Income!S59</f>
        <v/>
      </c>
      <c r="N47" s="458">
        <f>Income!D59</f>
        <v>0</v>
      </c>
      <c r="R47" s="455" t="str">
        <f t="shared" si="0"/>
        <v/>
      </c>
    </row>
    <row r="48" spans="1:18" x14ac:dyDescent="0.2">
      <c r="A48" s="459" t="str">
        <f>IF(Income!A60="Other: Please enter description","not in use",Income!A60)</f>
        <v>not in use</v>
      </c>
      <c r="B48" s="457" t="str">
        <f>Income!H60</f>
        <v/>
      </c>
      <c r="C48" s="457" t="str">
        <f>Income!I60</f>
        <v/>
      </c>
      <c r="D48" s="457" t="str">
        <f>Income!J60</f>
        <v/>
      </c>
      <c r="E48" s="457" t="str">
        <f>Income!K60</f>
        <v/>
      </c>
      <c r="F48" s="457" t="str">
        <f>Income!L60</f>
        <v/>
      </c>
      <c r="G48" s="457" t="str">
        <f>Income!M60</f>
        <v/>
      </c>
      <c r="H48" s="457" t="str">
        <f>Income!N60</f>
        <v/>
      </c>
      <c r="I48" s="457" t="str">
        <f>Income!O60</f>
        <v/>
      </c>
      <c r="J48" s="457" t="str">
        <f>Income!P60</f>
        <v/>
      </c>
      <c r="K48" s="457" t="str">
        <f>Income!Q60</f>
        <v/>
      </c>
      <c r="L48" s="457" t="str">
        <f>Income!R60</f>
        <v/>
      </c>
      <c r="M48" s="457" t="str">
        <f>Income!S60</f>
        <v/>
      </c>
      <c r="N48" s="458">
        <f>Income!D60</f>
        <v>0</v>
      </c>
      <c r="R48" s="455" t="str">
        <f t="shared" si="0"/>
        <v/>
      </c>
    </row>
    <row r="49" spans="1:18" ht="13.5" thickBot="1" x14ac:dyDescent="0.25">
      <c r="A49" s="459" t="str">
        <f>IF(Income!A61="Other: Please enter description","not in use",Income!A61)</f>
        <v>not in use</v>
      </c>
      <c r="B49" s="457" t="str">
        <f>Income!H61</f>
        <v/>
      </c>
      <c r="C49" s="457" t="str">
        <f>Income!I61</f>
        <v/>
      </c>
      <c r="D49" s="457" t="str">
        <f>Income!J61</f>
        <v/>
      </c>
      <c r="E49" s="457" t="str">
        <f>Income!K61</f>
        <v/>
      </c>
      <c r="F49" s="457" t="str">
        <f>Income!L61</f>
        <v/>
      </c>
      <c r="G49" s="457" t="str">
        <f>Income!M61</f>
        <v/>
      </c>
      <c r="H49" s="457" t="str">
        <f>Income!N61</f>
        <v/>
      </c>
      <c r="I49" s="457" t="str">
        <f>Income!O61</f>
        <v/>
      </c>
      <c r="J49" s="457" t="str">
        <f>Income!P61</f>
        <v/>
      </c>
      <c r="K49" s="457" t="str">
        <f>Income!Q61</f>
        <v/>
      </c>
      <c r="L49" s="457" t="str">
        <f>Income!R61</f>
        <v/>
      </c>
      <c r="M49" s="457" t="str">
        <f>Income!S61</f>
        <v/>
      </c>
      <c r="N49" s="458">
        <f>Income!D61</f>
        <v>0</v>
      </c>
      <c r="R49" s="455" t="str">
        <f t="shared" si="0"/>
        <v/>
      </c>
    </row>
    <row r="50" spans="1:18" s="443" customFormat="1" ht="13.5" thickBot="1" x14ac:dyDescent="0.25">
      <c r="A50" s="460" t="s">
        <v>547</v>
      </c>
      <c r="B50" s="461">
        <f>SUM(B9:B49)</f>
        <v>48184.522727272728</v>
      </c>
      <c r="C50" s="461">
        <f t="shared" ref="C50:N50" si="1">SUM(C9:C49)</f>
        <v>35189.772727272728</v>
      </c>
      <c r="D50" s="461">
        <f t="shared" si="1"/>
        <v>35189.772727272728</v>
      </c>
      <c r="E50" s="461">
        <f t="shared" si="1"/>
        <v>53091.772727272728</v>
      </c>
      <c r="F50" s="461">
        <f t="shared" si="1"/>
        <v>37994.5</v>
      </c>
      <c r="G50" s="461">
        <f t="shared" si="1"/>
        <v>35189.772727272728</v>
      </c>
      <c r="H50" s="461">
        <f t="shared" si="1"/>
        <v>35189.772727272728</v>
      </c>
      <c r="I50" s="461">
        <f t="shared" si="1"/>
        <v>53381.772727272728</v>
      </c>
      <c r="J50" s="461">
        <f t="shared" si="1"/>
        <v>38776.772727272728</v>
      </c>
      <c r="K50" s="461">
        <f t="shared" si="1"/>
        <v>44346.772727272728</v>
      </c>
      <c r="L50" s="461">
        <f t="shared" si="1"/>
        <v>35189.772727272728</v>
      </c>
      <c r="M50" s="461">
        <f t="shared" si="1"/>
        <v>37879.772727272728</v>
      </c>
      <c r="N50" s="461">
        <f t="shared" si="1"/>
        <v>494163</v>
      </c>
      <c r="O50" s="450"/>
      <c r="R50" s="455" t="str">
        <f t="shared" si="0"/>
        <v/>
      </c>
    </row>
    <row r="51" spans="1:18" ht="13.5" thickBot="1" x14ac:dyDescent="0.25">
      <c r="A51" s="441"/>
      <c r="B51" s="441"/>
      <c r="C51" s="441"/>
      <c r="D51" s="441"/>
      <c r="E51" s="441"/>
      <c r="F51" s="441"/>
      <c r="G51" s="441"/>
      <c r="H51" s="441"/>
      <c r="I51" s="441"/>
      <c r="J51" s="441"/>
      <c r="K51" s="1258"/>
      <c r="L51" s="1259"/>
      <c r="M51" s="1259"/>
      <c r="N51" s="1259"/>
      <c r="R51" s="455" t="str">
        <f t="shared" si="0"/>
        <v/>
      </c>
    </row>
    <row r="52" spans="1:18" ht="13.5" thickBot="1" x14ac:dyDescent="0.25">
      <c r="A52" s="462" t="s">
        <v>282</v>
      </c>
      <c r="B52" s="448" t="s">
        <v>269</v>
      </c>
      <c r="C52" s="448" t="s">
        <v>270</v>
      </c>
      <c r="D52" s="448" t="s">
        <v>271</v>
      </c>
      <c r="E52" s="448" t="s">
        <v>272</v>
      </c>
      <c r="F52" s="448" t="s">
        <v>273</v>
      </c>
      <c r="G52" s="448" t="s">
        <v>274</v>
      </c>
      <c r="H52" s="448" t="s">
        <v>275</v>
      </c>
      <c r="I52" s="448" t="s">
        <v>276</v>
      </c>
      <c r="J52" s="448" t="s">
        <v>277</v>
      </c>
      <c r="K52" s="448" t="s">
        <v>278</v>
      </c>
      <c r="L52" s="448" t="s">
        <v>279</v>
      </c>
      <c r="M52" s="448" t="s">
        <v>280</v>
      </c>
      <c r="N52" s="449" t="s">
        <v>266</v>
      </c>
      <c r="R52" s="455" t="str">
        <f t="shared" si="0"/>
        <v/>
      </c>
    </row>
    <row r="53" spans="1:18" ht="15" thickBot="1" x14ac:dyDescent="0.25">
      <c r="A53" s="565" t="str">
        <f>'Fin.Yr Lookups'!A16&amp;" Year-End Creditors"</f>
        <v>2019-20 Year-End Creditors</v>
      </c>
      <c r="B53" s="321"/>
      <c r="C53" s="321"/>
      <c r="D53" s="321"/>
      <c r="E53" s="321"/>
      <c r="F53" s="321"/>
      <c r="G53" s="321"/>
      <c r="H53" s="321"/>
      <c r="I53" s="321"/>
      <c r="J53" s="321"/>
      <c r="K53" s="321"/>
      <c r="L53" s="321"/>
      <c r="M53" s="321"/>
      <c r="N53" s="463">
        <f>SUM(B53:M53)</f>
        <v>0</v>
      </c>
      <c r="R53" s="455"/>
    </row>
    <row r="54" spans="1:18" x14ac:dyDescent="0.2">
      <c r="A54" s="464" t="str">
        <f>IF(Expenditure!A10="Add Cost Centre Description Here","",Expenditure!A10)</f>
        <v>Teachers</v>
      </c>
      <c r="B54" s="453">
        <f>SUM(Expenditure!I10:I17)</f>
        <v>23010.25</v>
      </c>
      <c r="C54" s="453">
        <f>SUM(Expenditure!J10:J17)</f>
        <v>25635.25</v>
      </c>
      <c r="D54" s="453">
        <f>SUM(Expenditure!K10:K17)</f>
        <v>25635.25</v>
      </c>
      <c r="E54" s="453">
        <f>SUM(Expenditure!L10:L17)</f>
        <v>25635.25</v>
      </c>
      <c r="F54" s="453">
        <f>SUM(Expenditure!M10:M17)</f>
        <v>26122.25</v>
      </c>
      <c r="G54" s="453">
        <f>SUM(Expenditure!N10:N17)</f>
        <v>20061.25</v>
      </c>
      <c r="H54" s="453">
        <f>SUM(Expenditure!O10:O17)</f>
        <v>20061.25</v>
      </c>
      <c r="I54" s="453">
        <f>SUM(Expenditure!P10:P17)</f>
        <v>20061.25</v>
      </c>
      <c r="J54" s="453">
        <f>SUM(Expenditure!Q10:Q17)</f>
        <v>20061.25</v>
      </c>
      <c r="K54" s="453">
        <f>SUM(Expenditure!R10:R17)</f>
        <v>20061.25</v>
      </c>
      <c r="L54" s="453">
        <f>SUM(Expenditure!S10:S17)</f>
        <v>20061.25</v>
      </c>
      <c r="M54" s="453">
        <f>SUM(Expenditure!T10:T17)</f>
        <v>20061.25</v>
      </c>
      <c r="N54" s="454">
        <f>Expenditure!F17</f>
        <v>266467</v>
      </c>
      <c r="R54" s="455" t="str">
        <f t="shared" si="0"/>
        <v/>
      </c>
    </row>
    <row r="55" spans="1:18" x14ac:dyDescent="0.2">
      <c r="A55" s="459" t="str">
        <f>IF(Expenditure!A19="Add Cost Centre Description Here","",Expenditure!A19)</f>
        <v>Supply Staff</v>
      </c>
      <c r="B55" s="457">
        <f>SUM(Expenditure!I19:I24)</f>
        <v>1269.3333333333333</v>
      </c>
      <c r="C55" s="457">
        <f>SUM(Expenditure!J19:J24)</f>
        <v>0</v>
      </c>
      <c r="D55" s="457">
        <f>SUM(Expenditure!K19:K24)</f>
        <v>0</v>
      </c>
      <c r="E55" s="457">
        <f>SUM(Expenditure!L19:L24)</f>
        <v>0</v>
      </c>
      <c r="F55" s="457">
        <f>SUM(Expenditure!M19:M24)</f>
        <v>0</v>
      </c>
      <c r="G55" s="457">
        <f>SUM(Expenditure!N19:N24)</f>
        <v>1269.3333333333333</v>
      </c>
      <c r="H55" s="457">
        <f>SUM(Expenditure!O19:O24)</f>
        <v>0</v>
      </c>
      <c r="I55" s="457">
        <f>SUM(Expenditure!P19:P24)</f>
        <v>0</v>
      </c>
      <c r="J55" s="457">
        <f>SUM(Expenditure!Q19:Q24)</f>
        <v>0</v>
      </c>
      <c r="K55" s="457">
        <f>SUM(Expenditure!R19:R24)</f>
        <v>1269.3333333333333</v>
      </c>
      <c r="L55" s="457">
        <f>SUM(Expenditure!S19:S24)</f>
        <v>0</v>
      </c>
      <c r="M55" s="457">
        <f>SUM(Expenditure!T19:T24)</f>
        <v>0</v>
      </c>
      <c r="N55" s="458">
        <f>Expenditure!F24</f>
        <v>3808</v>
      </c>
      <c r="R55" s="455" t="str">
        <f t="shared" si="0"/>
        <v/>
      </c>
    </row>
    <row r="56" spans="1:18" x14ac:dyDescent="0.2">
      <c r="A56" s="459" t="str">
        <f>IF(Expenditure!A26="Add Cost Centre Description Here","",Expenditure!A26)</f>
        <v>Administrative Staff</v>
      </c>
      <c r="B56" s="457">
        <f>SUM(Expenditure!I26:I34)</f>
        <v>2969.1666666666665</v>
      </c>
      <c r="C56" s="457">
        <f>SUM(Expenditure!J26:J34)</f>
        <v>2669.1666666666665</v>
      </c>
      <c r="D56" s="457">
        <f>SUM(Expenditure!K26:K34)</f>
        <v>2669.1666666666665</v>
      </c>
      <c r="E56" s="457">
        <f>SUM(Expenditure!L26:L34)</f>
        <v>2669.1666666666665</v>
      </c>
      <c r="F56" s="457">
        <f>SUM(Expenditure!M26:M34)</f>
        <v>2669.1666666666665</v>
      </c>
      <c r="G56" s="457">
        <f>SUM(Expenditure!N26:N34)</f>
        <v>2969.1666666666665</v>
      </c>
      <c r="H56" s="457">
        <f>SUM(Expenditure!O26:O34)</f>
        <v>2669.1666666666665</v>
      </c>
      <c r="I56" s="457">
        <f>SUM(Expenditure!P26:P34)</f>
        <v>2669.1666666666665</v>
      </c>
      <c r="J56" s="457">
        <f>SUM(Expenditure!Q26:Q34)</f>
        <v>2669.1666666666665</v>
      </c>
      <c r="K56" s="457">
        <f>SUM(Expenditure!R26:R34)</f>
        <v>2969.1666666666665</v>
      </c>
      <c r="L56" s="457">
        <f>SUM(Expenditure!S26:S34)</f>
        <v>2669.1666666666665</v>
      </c>
      <c r="M56" s="457">
        <f>SUM(Expenditure!T26:T34)</f>
        <v>2669.1666666666665</v>
      </c>
      <c r="N56" s="458">
        <f>Expenditure!F34</f>
        <v>32930</v>
      </c>
      <c r="R56" s="455" t="str">
        <f t="shared" si="0"/>
        <v/>
      </c>
    </row>
    <row r="57" spans="1:18" x14ac:dyDescent="0.2">
      <c r="A57" s="459" t="str">
        <f>IF(Expenditure!A36="Add Cost Centre Description Here","",Expenditure!A36)</f>
        <v>Nursery Nurses</v>
      </c>
      <c r="B57" s="457">
        <f>SUM(Expenditure!I36:I40)</f>
        <v>0</v>
      </c>
      <c r="C57" s="457">
        <f>SUM(Expenditure!J36:J40)</f>
        <v>0</v>
      </c>
      <c r="D57" s="457">
        <f>SUM(Expenditure!K36:K40)</f>
        <v>0</v>
      </c>
      <c r="E57" s="457">
        <f>SUM(Expenditure!L36:L40)</f>
        <v>0</v>
      </c>
      <c r="F57" s="457">
        <f>SUM(Expenditure!M36:M40)</f>
        <v>0</v>
      </c>
      <c r="G57" s="457">
        <f>SUM(Expenditure!N36:N40)</f>
        <v>0</v>
      </c>
      <c r="H57" s="457">
        <f>SUM(Expenditure!O36:O40)</f>
        <v>0</v>
      </c>
      <c r="I57" s="457">
        <f>SUM(Expenditure!P36:P40)</f>
        <v>0</v>
      </c>
      <c r="J57" s="457">
        <f>SUM(Expenditure!Q36:Q40)</f>
        <v>0</v>
      </c>
      <c r="K57" s="457">
        <f>SUM(Expenditure!R36:R40)</f>
        <v>0</v>
      </c>
      <c r="L57" s="457">
        <f>SUM(Expenditure!S36:S40)</f>
        <v>0</v>
      </c>
      <c r="M57" s="457">
        <f>SUM(Expenditure!T36:T40)</f>
        <v>0</v>
      </c>
      <c r="N57" s="458">
        <f>Expenditure!F40</f>
        <v>0</v>
      </c>
      <c r="R57" s="455" t="str">
        <f t="shared" si="0"/>
        <v/>
      </c>
    </row>
    <row r="58" spans="1:18" x14ac:dyDescent="0.2">
      <c r="A58" s="459" t="str">
        <f>IF(Expenditure!A42="Add Cost Centre Description Here","",Expenditure!A42)</f>
        <v>Classroom Support</v>
      </c>
      <c r="B58" s="457">
        <f>SUM(Expenditure!I42:I75)</f>
        <v>4454.8560606060601</v>
      </c>
      <c r="C58" s="457">
        <f>SUM(Expenditure!J42:J75)</f>
        <v>4454.8560606060601</v>
      </c>
      <c r="D58" s="457">
        <f>SUM(Expenditure!K42:K75)</f>
        <v>4454.8560606060601</v>
      </c>
      <c r="E58" s="457">
        <f>SUM(Expenditure!L42:L75)</f>
        <v>4454.8560606060601</v>
      </c>
      <c r="F58" s="457">
        <f>SUM(Expenditure!M42:M75)</f>
        <v>4282.583333333333</v>
      </c>
      <c r="G58" s="457">
        <f>SUM(Expenditure!N42:N75)</f>
        <v>4454.8560606060601</v>
      </c>
      <c r="H58" s="457">
        <f>SUM(Expenditure!O42:O75)</f>
        <v>4454.8560606060601</v>
      </c>
      <c r="I58" s="457">
        <f>SUM(Expenditure!P42:P75)</f>
        <v>4454.8560606060601</v>
      </c>
      <c r="J58" s="457">
        <f>SUM(Expenditure!Q42:Q75)</f>
        <v>4454.8560606060601</v>
      </c>
      <c r="K58" s="457">
        <f>SUM(Expenditure!R42:R75)</f>
        <v>4454.8560606060601</v>
      </c>
      <c r="L58" s="457">
        <f>SUM(Expenditure!S42:S75)</f>
        <v>4454.8560606060601</v>
      </c>
      <c r="M58" s="457">
        <f>SUM(Expenditure!T42:T75)</f>
        <v>4454.8560606060601</v>
      </c>
      <c r="N58" s="458">
        <f>Expenditure!F75</f>
        <v>53286</v>
      </c>
      <c r="R58" s="455"/>
    </row>
    <row r="59" spans="1:18" x14ac:dyDescent="0.2">
      <c r="A59" s="459" t="str">
        <f>IF(Expenditure!A77="Add Cost Centre Description Here","",Expenditure!A77)</f>
        <v>SEN Welfare</v>
      </c>
      <c r="B59" s="457">
        <f>SUM(Expenditure!I77:I81)</f>
        <v>0</v>
      </c>
      <c r="C59" s="457">
        <f>SUM(Expenditure!J77:J81)</f>
        <v>0</v>
      </c>
      <c r="D59" s="457">
        <f>SUM(Expenditure!K77:K81)</f>
        <v>0</v>
      </c>
      <c r="E59" s="457">
        <f>SUM(Expenditure!L77:L81)</f>
        <v>0</v>
      </c>
      <c r="F59" s="457">
        <f>SUM(Expenditure!M77:M81)</f>
        <v>0</v>
      </c>
      <c r="G59" s="457">
        <f>SUM(Expenditure!N77:N81)</f>
        <v>0</v>
      </c>
      <c r="H59" s="457">
        <f>SUM(Expenditure!O77:O81)</f>
        <v>0</v>
      </c>
      <c r="I59" s="457">
        <f>SUM(Expenditure!P77:P81)</f>
        <v>0</v>
      </c>
      <c r="J59" s="457">
        <f>SUM(Expenditure!Q77:Q81)</f>
        <v>0</v>
      </c>
      <c r="K59" s="457">
        <f>SUM(Expenditure!R77:R81)</f>
        <v>0</v>
      </c>
      <c r="L59" s="457">
        <f>SUM(Expenditure!S77:S81)</f>
        <v>0</v>
      </c>
      <c r="M59" s="457">
        <f>SUM(Expenditure!T77:T81)</f>
        <v>0</v>
      </c>
      <c r="N59" s="458">
        <f>Expenditure!F81</f>
        <v>0</v>
      </c>
      <c r="R59" s="455"/>
    </row>
    <row r="60" spans="1:18" x14ac:dyDescent="0.2">
      <c r="A60" s="459" t="str">
        <f>IF(Expenditure!A83="Add Cost Centre Description Here","",Expenditure!A83)</f>
        <v>Premises Staff</v>
      </c>
      <c r="B60" s="457">
        <f>SUM(Expenditure!I83:I94)</f>
        <v>1211.25</v>
      </c>
      <c r="C60" s="457">
        <f>SUM(Expenditure!J83:J94)</f>
        <v>1211.25</v>
      </c>
      <c r="D60" s="457">
        <f>SUM(Expenditure!K83:K94)</f>
        <v>1211.25</v>
      </c>
      <c r="E60" s="457">
        <f>SUM(Expenditure!L83:L94)</f>
        <v>1211.25</v>
      </c>
      <c r="F60" s="457">
        <f>SUM(Expenditure!M83:M94)</f>
        <v>1211.25</v>
      </c>
      <c r="G60" s="457">
        <f>SUM(Expenditure!N83:N94)</f>
        <v>1211.25</v>
      </c>
      <c r="H60" s="457">
        <f>SUM(Expenditure!O83:O94)</f>
        <v>1211.25</v>
      </c>
      <c r="I60" s="457">
        <f>SUM(Expenditure!P83:P94)</f>
        <v>1211.25</v>
      </c>
      <c r="J60" s="457">
        <f>SUM(Expenditure!Q83:Q94)</f>
        <v>1211.25</v>
      </c>
      <c r="K60" s="457">
        <f>SUM(Expenditure!R83:R94)</f>
        <v>1211.25</v>
      </c>
      <c r="L60" s="457">
        <f>SUM(Expenditure!S83:S94)</f>
        <v>1211.25</v>
      </c>
      <c r="M60" s="457">
        <f>SUM(Expenditure!T83:T94)</f>
        <v>1211.25</v>
      </c>
      <c r="N60" s="458">
        <f>Expenditure!F94</f>
        <v>14535</v>
      </c>
      <c r="R60" s="455"/>
    </row>
    <row r="61" spans="1:18" x14ac:dyDescent="0.2">
      <c r="A61" s="459" t="str">
        <f>IF(Expenditure!A96="Add Cost Centre Description Here","",Expenditure!A96)</f>
        <v>Midday Supervision</v>
      </c>
      <c r="B61" s="457">
        <f>SUM(Expenditure!I96:I104)</f>
        <v>628.16666666666663</v>
      </c>
      <c r="C61" s="457">
        <f>SUM(Expenditure!J96:J104)</f>
        <v>628.16666666666663</v>
      </c>
      <c r="D61" s="457">
        <f>SUM(Expenditure!K96:K104)</f>
        <v>628.16666666666663</v>
      </c>
      <c r="E61" s="457">
        <f>SUM(Expenditure!L96:L104)</f>
        <v>628.16666666666663</v>
      </c>
      <c r="F61" s="457">
        <f>SUM(Expenditure!M96:M104)</f>
        <v>628.16666666666663</v>
      </c>
      <c r="G61" s="457">
        <f>SUM(Expenditure!N96:N104)</f>
        <v>628.16666666666663</v>
      </c>
      <c r="H61" s="457">
        <f>SUM(Expenditure!O96:O104)</f>
        <v>628.16666666666663</v>
      </c>
      <c r="I61" s="457">
        <f>SUM(Expenditure!P96:P104)</f>
        <v>628.16666666666663</v>
      </c>
      <c r="J61" s="457">
        <f>SUM(Expenditure!Q96:Q104)</f>
        <v>628.16666666666663</v>
      </c>
      <c r="K61" s="457">
        <f>SUM(Expenditure!R96:R104)</f>
        <v>628.16666666666663</v>
      </c>
      <c r="L61" s="457">
        <f>SUM(Expenditure!S96:S104)</f>
        <v>628.16666666666663</v>
      </c>
      <c r="M61" s="457">
        <f>SUM(Expenditure!T96:T104)</f>
        <v>628.16666666666663</v>
      </c>
      <c r="N61" s="458">
        <f>Expenditure!F104</f>
        <v>7538</v>
      </c>
      <c r="R61" s="455"/>
    </row>
    <row r="62" spans="1:18" x14ac:dyDescent="0.2">
      <c r="A62" s="459" t="str">
        <f>IF(Expenditure!A106="Add Cost Centre Description Here","",Expenditure!A106)</f>
        <v>Catering Staff</v>
      </c>
      <c r="B62" s="457">
        <f>SUM(Expenditure!I106:I110)</f>
        <v>1750.1666666666665</v>
      </c>
      <c r="C62" s="457">
        <f>SUM(Expenditure!J106:J110)</f>
        <v>1716.8333333333333</v>
      </c>
      <c r="D62" s="457">
        <f>SUM(Expenditure!K106:K110)</f>
        <v>1716.8333333333333</v>
      </c>
      <c r="E62" s="457">
        <f>SUM(Expenditure!L106:L110)</f>
        <v>1716.8333333333333</v>
      </c>
      <c r="F62" s="457">
        <f>SUM(Expenditure!M106:M110)</f>
        <v>1716.8333333333333</v>
      </c>
      <c r="G62" s="457">
        <f>SUM(Expenditure!N106:N110)</f>
        <v>1750.1666666666665</v>
      </c>
      <c r="H62" s="457">
        <f>SUM(Expenditure!O106:O110)</f>
        <v>1716.8333333333333</v>
      </c>
      <c r="I62" s="457">
        <f>SUM(Expenditure!P106:P110)</f>
        <v>1716.8333333333333</v>
      </c>
      <c r="J62" s="457">
        <f>SUM(Expenditure!Q106:Q110)</f>
        <v>1716.8333333333333</v>
      </c>
      <c r="K62" s="457">
        <f>SUM(Expenditure!R106:R110)</f>
        <v>1750.1666666666665</v>
      </c>
      <c r="L62" s="457">
        <f>SUM(Expenditure!S106:S110)</f>
        <v>1716.8333333333333</v>
      </c>
      <c r="M62" s="457">
        <f>SUM(Expenditure!T106:T110)</f>
        <v>1716.8333333333333</v>
      </c>
      <c r="N62" s="458">
        <f>Expenditure!F110</f>
        <v>20702</v>
      </c>
      <c r="R62" s="455"/>
    </row>
    <row r="63" spans="1:18" x14ac:dyDescent="0.2">
      <c r="A63" s="459" t="s">
        <v>696</v>
      </c>
      <c r="B63" s="457">
        <f>SUM(Expenditure!I112:I119)</f>
        <v>0</v>
      </c>
      <c r="C63" s="457">
        <f>SUM(Expenditure!J112:J119)</f>
        <v>0</v>
      </c>
      <c r="D63" s="457">
        <f>SUM(Expenditure!K112:K119)</f>
        <v>0</v>
      </c>
      <c r="E63" s="457">
        <f>SUM(Expenditure!L112:L119)</f>
        <v>0</v>
      </c>
      <c r="F63" s="457">
        <f>SUM(Expenditure!M112:M119)</f>
        <v>0</v>
      </c>
      <c r="G63" s="457">
        <f>SUM(Expenditure!N112:N119)</f>
        <v>0</v>
      </c>
      <c r="H63" s="457">
        <f>SUM(Expenditure!O112:O119)</f>
        <v>0</v>
      </c>
      <c r="I63" s="457">
        <f>SUM(Expenditure!P112:P119)</f>
        <v>0</v>
      </c>
      <c r="J63" s="457">
        <f>SUM(Expenditure!Q112:Q119)</f>
        <v>0</v>
      </c>
      <c r="K63" s="457">
        <f>SUM(Expenditure!R112:R119)</f>
        <v>0</v>
      </c>
      <c r="L63" s="457">
        <f>SUM(Expenditure!S112:S119)</f>
        <v>0</v>
      </c>
      <c r="M63" s="457">
        <f>SUM(Expenditure!T112:T119)</f>
        <v>0</v>
      </c>
      <c r="N63" s="458">
        <f>Expenditure!F119</f>
        <v>0</v>
      </c>
      <c r="R63" s="455"/>
    </row>
    <row r="64" spans="1:18" x14ac:dyDescent="0.2">
      <c r="A64" s="459" t="str">
        <f>IF(Expenditure!A121="Add Cost Centre Description Here","",Expenditure!A121)</f>
        <v>Staff Insurance Premiums</v>
      </c>
      <c r="B64" s="457">
        <f>SUM(Expenditure!I121:I124)</f>
        <v>8935</v>
      </c>
      <c r="C64" s="457">
        <f>SUM(Expenditure!J121:J124)</f>
        <v>0</v>
      </c>
      <c r="D64" s="457">
        <f>SUM(Expenditure!K121:K124)</f>
        <v>0</v>
      </c>
      <c r="E64" s="457">
        <f>SUM(Expenditure!L121:L124)</f>
        <v>0</v>
      </c>
      <c r="F64" s="457">
        <f>SUM(Expenditure!M121:M124)</f>
        <v>0</v>
      </c>
      <c r="G64" s="457">
        <f>SUM(Expenditure!N121:N124)</f>
        <v>0</v>
      </c>
      <c r="H64" s="457">
        <f>SUM(Expenditure!O121:O124)</f>
        <v>0</v>
      </c>
      <c r="I64" s="457">
        <f>SUM(Expenditure!P121:P124)</f>
        <v>0</v>
      </c>
      <c r="J64" s="457">
        <f>SUM(Expenditure!Q121:Q124)</f>
        <v>0</v>
      </c>
      <c r="K64" s="457">
        <f>SUM(Expenditure!R121:R124)</f>
        <v>0</v>
      </c>
      <c r="L64" s="457">
        <f>SUM(Expenditure!S121:S124)</f>
        <v>0</v>
      </c>
      <c r="M64" s="457">
        <f>SUM(Expenditure!T121:T124)</f>
        <v>0</v>
      </c>
      <c r="N64" s="458">
        <f>Expenditure!F124</f>
        <v>8935</v>
      </c>
      <c r="R64" s="455"/>
    </row>
    <row r="65" spans="1:18" x14ac:dyDescent="0.2">
      <c r="A65" s="459" t="str">
        <f>IF(Expenditure!A126="Add Cost Centre Description Here","",Expenditure!A126)</f>
        <v>Other Employees Expenses</v>
      </c>
      <c r="B65" s="457">
        <f>SUM(Expenditure!I126:I138)</f>
        <v>847.66666666666663</v>
      </c>
      <c r="C65" s="457">
        <f>SUM(Expenditure!J126:J138)</f>
        <v>134</v>
      </c>
      <c r="D65" s="457">
        <f>SUM(Expenditure!K126:K138)</f>
        <v>134</v>
      </c>
      <c r="E65" s="457">
        <f>SUM(Expenditure!L126:L138)</f>
        <v>134</v>
      </c>
      <c r="F65" s="457">
        <f>SUM(Expenditure!M126:M138)</f>
        <v>134</v>
      </c>
      <c r="G65" s="457">
        <f>SUM(Expenditure!N126:N138)</f>
        <v>847.66666666666663</v>
      </c>
      <c r="H65" s="457">
        <f>SUM(Expenditure!O126:O138)</f>
        <v>134</v>
      </c>
      <c r="I65" s="457">
        <f>SUM(Expenditure!P126:P138)</f>
        <v>134</v>
      </c>
      <c r="J65" s="457">
        <f>SUM(Expenditure!Q126:Q138)</f>
        <v>134</v>
      </c>
      <c r="K65" s="457">
        <f>SUM(Expenditure!R126:R138)</f>
        <v>847.66666666666663</v>
      </c>
      <c r="L65" s="457">
        <f>SUM(Expenditure!S126:S138)</f>
        <v>134</v>
      </c>
      <c r="M65" s="457">
        <f>SUM(Expenditure!T126:T138)</f>
        <v>134</v>
      </c>
      <c r="N65" s="458">
        <f>Expenditure!F138</f>
        <v>3749</v>
      </c>
      <c r="R65" s="455"/>
    </row>
    <row r="66" spans="1:18" x14ac:dyDescent="0.2">
      <c r="A66" s="459" t="str">
        <f>IF(Expenditure!A140="Staffing: Add Cost Centre Description Here","Not in use",Expenditure!A140)</f>
        <v>PE Instructor</v>
      </c>
      <c r="B66" s="457">
        <f>SUM(Expenditure!I140:I143)</f>
        <v>750.66666666666663</v>
      </c>
      <c r="C66" s="457">
        <f>SUM(Expenditure!J140:J143)</f>
        <v>750.66666666666663</v>
      </c>
      <c r="D66" s="457">
        <f>SUM(Expenditure!K140:K143)</f>
        <v>750.66666666666663</v>
      </c>
      <c r="E66" s="457">
        <f>SUM(Expenditure!L140:L143)</f>
        <v>750.66666666666663</v>
      </c>
      <c r="F66" s="457">
        <f>SUM(Expenditure!M140:M143)</f>
        <v>750.66666666666663</v>
      </c>
      <c r="G66" s="457">
        <f>SUM(Expenditure!N140:N143)</f>
        <v>750.66666666666663</v>
      </c>
      <c r="H66" s="457">
        <f>SUM(Expenditure!O140:O143)</f>
        <v>750.66666666666663</v>
      </c>
      <c r="I66" s="457">
        <f>SUM(Expenditure!P140:P143)</f>
        <v>750.66666666666663</v>
      </c>
      <c r="J66" s="457">
        <f>SUM(Expenditure!Q140:Q143)</f>
        <v>750.66666666666663</v>
      </c>
      <c r="K66" s="457">
        <f>SUM(Expenditure!R140:R143)</f>
        <v>750.66666666666663</v>
      </c>
      <c r="L66" s="457">
        <f>SUM(Expenditure!S140:S143)</f>
        <v>750.66666666666663</v>
      </c>
      <c r="M66" s="457">
        <f>SUM(Expenditure!T140:T143)</f>
        <v>750.66666666666663</v>
      </c>
      <c r="N66" s="458">
        <f>Expenditure!F143</f>
        <v>9008</v>
      </c>
      <c r="R66" s="455"/>
    </row>
    <row r="67" spans="1:18" x14ac:dyDescent="0.2">
      <c r="A67" s="459" t="str">
        <f>IF(Expenditure!A145="Staffing: Add Cost Centre Description Here","Not in use",Expenditure!A145)</f>
        <v>Breakfast Club Instructor</v>
      </c>
      <c r="B67" s="457">
        <f>SUM(Expenditure!I145:I148)</f>
        <v>793.5</v>
      </c>
      <c r="C67" s="457">
        <f>SUM(Expenditure!J145:J148)</f>
        <v>793.5</v>
      </c>
      <c r="D67" s="457">
        <f>SUM(Expenditure!K145:K148)</f>
        <v>335.5</v>
      </c>
      <c r="E67" s="457">
        <f>SUM(Expenditure!L145:L148)</f>
        <v>335.5</v>
      </c>
      <c r="F67" s="457">
        <f>SUM(Expenditure!M145:M148)</f>
        <v>335.5</v>
      </c>
      <c r="G67" s="457">
        <f>SUM(Expenditure!N145:N148)</f>
        <v>335.5</v>
      </c>
      <c r="H67" s="457">
        <f>SUM(Expenditure!O145:O148)</f>
        <v>335.5</v>
      </c>
      <c r="I67" s="457">
        <f>SUM(Expenditure!P145:P148)</f>
        <v>335.5</v>
      </c>
      <c r="J67" s="457">
        <f>SUM(Expenditure!Q145:Q148)</f>
        <v>335.5</v>
      </c>
      <c r="K67" s="457">
        <f>SUM(Expenditure!R145:R148)</f>
        <v>335.5</v>
      </c>
      <c r="L67" s="457">
        <f>SUM(Expenditure!S145:S148)</f>
        <v>335.5</v>
      </c>
      <c r="M67" s="457">
        <f>SUM(Expenditure!T145:T148)</f>
        <v>335.5</v>
      </c>
      <c r="N67" s="458">
        <f>Expenditure!F148</f>
        <v>4026</v>
      </c>
      <c r="R67" s="455"/>
    </row>
    <row r="68" spans="1:18" x14ac:dyDescent="0.2">
      <c r="A68" s="459" t="str">
        <f>IF(Expenditure!A150="Staffing: Add Cost Centre Description Here","Not in use",Expenditure!A150)</f>
        <v>Not in use</v>
      </c>
      <c r="B68" s="457">
        <f>SUM(Expenditure!I150:I153)</f>
        <v>0</v>
      </c>
      <c r="C68" s="457">
        <f>SUM(Expenditure!J150:J153)</f>
        <v>0</v>
      </c>
      <c r="D68" s="457">
        <f>SUM(Expenditure!K150:K153)</f>
        <v>0</v>
      </c>
      <c r="E68" s="457">
        <f>SUM(Expenditure!L150:L153)</f>
        <v>0</v>
      </c>
      <c r="F68" s="457">
        <f>SUM(Expenditure!M150:M153)</f>
        <v>0</v>
      </c>
      <c r="G68" s="457">
        <f>SUM(Expenditure!N150:N153)</f>
        <v>0</v>
      </c>
      <c r="H68" s="457">
        <f>SUM(Expenditure!O150:O153)</f>
        <v>0</v>
      </c>
      <c r="I68" s="457">
        <f>SUM(Expenditure!P150:P153)</f>
        <v>0</v>
      </c>
      <c r="J68" s="457">
        <f>SUM(Expenditure!Q150:Q153)</f>
        <v>0</v>
      </c>
      <c r="K68" s="457">
        <f>SUM(Expenditure!R150:R153)</f>
        <v>0</v>
      </c>
      <c r="L68" s="457">
        <f>SUM(Expenditure!S150:S153)</f>
        <v>0</v>
      </c>
      <c r="M68" s="457">
        <f>SUM(Expenditure!T150:T153)</f>
        <v>0</v>
      </c>
      <c r="N68" s="458">
        <f>Expenditure!F153</f>
        <v>0</v>
      </c>
      <c r="R68" s="455"/>
    </row>
    <row r="69" spans="1:18" x14ac:dyDescent="0.2">
      <c r="A69" s="459" t="str">
        <f>IF(Expenditure!A155="Staffing: Add Cost Centre Description Here","Not in use",Expenditure!A155)</f>
        <v>Not in use</v>
      </c>
      <c r="B69" s="457">
        <f>SUM(Expenditure!I155:I158)</f>
        <v>0</v>
      </c>
      <c r="C69" s="457">
        <f>SUM(Expenditure!J155:J158)</f>
        <v>0</v>
      </c>
      <c r="D69" s="457">
        <f>SUM(Expenditure!K155:K158)</f>
        <v>0</v>
      </c>
      <c r="E69" s="457">
        <f>SUM(Expenditure!L155:L158)</f>
        <v>0</v>
      </c>
      <c r="F69" s="457">
        <f>SUM(Expenditure!M155:M158)</f>
        <v>0</v>
      </c>
      <c r="G69" s="457">
        <f>SUM(Expenditure!N155:N158)</f>
        <v>0</v>
      </c>
      <c r="H69" s="457">
        <f>SUM(Expenditure!O155:O158)</f>
        <v>0</v>
      </c>
      <c r="I69" s="457">
        <f>SUM(Expenditure!P155:P158)</f>
        <v>0</v>
      </c>
      <c r="J69" s="457">
        <f>SUM(Expenditure!Q155:Q158)</f>
        <v>0</v>
      </c>
      <c r="K69" s="457">
        <f>SUM(Expenditure!R155:R158)</f>
        <v>0</v>
      </c>
      <c r="L69" s="457">
        <f>SUM(Expenditure!S155:S158)</f>
        <v>0</v>
      </c>
      <c r="M69" s="457">
        <f>SUM(Expenditure!T155:T158)</f>
        <v>0</v>
      </c>
      <c r="N69" s="458">
        <f>Expenditure!F158</f>
        <v>0</v>
      </c>
      <c r="R69" s="455"/>
    </row>
    <row r="70" spans="1:18" x14ac:dyDescent="0.2">
      <c r="A70" s="459" t="str">
        <f>IF(Expenditure!A160="Staffing: Add Cost Centre Description Here","Not in use",Expenditure!A160)</f>
        <v>Not in use</v>
      </c>
      <c r="B70" s="457">
        <f>SUM(Expenditure!I160:I163)</f>
        <v>0</v>
      </c>
      <c r="C70" s="457">
        <f>SUM(Expenditure!J160:J163)</f>
        <v>0</v>
      </c>
      <c r="D70" s="457">
        <f>SUM(Expenditure!K160:K163)</f>
        <v>0</v>
      </c>
      <c r="E70" s="457">
        <f>SUM(Expenditure!L160:L163)</f>
        <v>0</v>
      </c>
      <c r="F70" s="457">
        <f>SUM(Expenditure!M160:M163)</f>
        <v>0</v>
      </c>
      <c r="G70" s="457">
        <f>SUM(Expenditure!N160:N163)</f>
        <v>0</v>
      </c>
      <c r="H70" s="457">
        <f>SUM(Expenditure!O160:O163)</f>
        <v>0</v>
      </c>
      <c r="I70" s="457">
        <f>SUM(Expenditure!P160:P163)</f>
        <v>0</v>
      </c>
      <c r="J70" s="457">
        <f>SUM(Expenditure!Q160:Q163)</f>
        <v>0</v>
      </c>
      <c r="K70" s="457">
        <f>SUM(Expenditure!R160:R163)</f>
        <v>0</v>
      </c>
      <c r="L70" s="457">
        <f>SUM(Expenditure!S160:S163)</f>
        <v>0</v>
      </c>
      <c r="M70" s="457">
        <f>SUM(Expenditure!T160:T163)</f>
        <v>0</v>
      </c>
      <c r="N70" s="458">
        <f>Expenditure!F163</f>
        <v>0</v>
      </c>
      <c r="R70" s="455"/>
    </row>
    <row r="71" spans="1:18" x14ac:dyDescent="0.2">
      <c r="A71" s="459" t="str">
        <f>IF(Expenditure!A165="Staffing: Add Cost Centre Description Here","Not in use",Expenditure!A165)</f>
        <v>Not in use</v>
      </c>
      <c r="B71" s="457">
        <f>SUM(Expenditure!I165:I168)</f>
        <v>0</v>
      </c>
      <c r="C71" s="457">
        <f>SUM(Expenditure!J165:J168)</f>
        <v>0</v>
      </c>
      <c r="D71" s="457">
        <f>SUM(Expenditure!K165:K168)</f>
        <v>0</v>
      </c>
      <c r="E71" s="457">
        <f>SUM(Expenditure!L165:L168)</f>
        <v>0</v>
      </c>
      <c r="F71" s="457">
        <f>SUM(Expenditure!M165:M168)</f>
        <v>0</v>
      </c>
      <c r="G71" s="457">
        <f>SUM(Expenditure!N165:N168)</f>
        <v>0</v>
      </c>
      <c r="H71" s="457">
        <f>SUM(Expenditure!O165:O168)</f>
        <v>0</v>
      </c>
      <c r="I71" s="457">
        <f>SUM(Expenditure!P165:P168)</f>
        <v>0</v>
      </c>
      <c r="J71" s="457">
        <f>SUM(Expenditure!Q165:Q168)</f>
        <v>0</v>
      </c>
      <c r="K71" s="457">
        <f>SUM(Expenditure!R165:R168)</f>
        <v>0</v>
      </c>
      <c r="L71" s="457">
        <f>SUM(Expenditure!S165:S168)</f>
        <v>0</v>
      </c>
      <c r="M71" s="457">
        <f>SUM(Expenditure!T165:T168)</f>
        <v>0</v>
      </c>
      <c r="N71" s="458">
        <f>Expenditure!F168</f>
        <v>0</v>
      </c>
      <c r="R71" s="455"/>
    </row>
    <row r="72" spans="1:18" x14ac:dyDescent="0.2">
      <c r="A72" s="459" t="str">
        <f>IF(Expenditure!A170="Staffing: Add Cost Centre Description Here","Not in use",Expenditure!A170)</f>
        <v>Not in use</v>
      </c>
      <c r="B72" s="457">
        <f>SUM(Expenditure!I170:I173)</f>
        <v>0</v>
      </c>
      <c r="C72" s="457">
        <f>SUM(Expenditure!J170:J173)</f>
        <v>0</v>
      </c>
      <c r="D72" s="457">
        <f>SUM(Expenditure!K170:K173)</f>
        <v>0</v>
      </c>
      <c r="E72" s="457">
        <f>SUM(Expenditure!L170:L173)</f>
        <v>0</v>
      </c>
      <c r="F72" s="457">
        <f>SUM(Expenditure!M170:M173)</f>
        <v>0</v>
      </c>
      <c r="G72" s="457">
        <f>SUM(Expenditure!N170:N173)</f>
        <v>0</v>
      </c>
      <c r="H72" s="457">
        <f>SUM(Expenditure!O170:O173)</f>
        <v>0</v>
      </c>
      <c r="I72" s="457">
        <f>SUM(Expenditure!P170:P173)</f>
        <v>0</v>
      </c>
      <c r="J72" s="457">
        <f>SUM(Expenditure!Q170:Q173)</f>
        <v>0</v>
      </c>
      <c r="K72" s="457">
        <f>SUM(Expenditure!R170:R173)</f>
        <v>0</v>
      </c>
      <c r="L72" s="457">
        <f>SUM(Expenditure!S170:S173)</f>
        <v>0</v>
      </c>
      <c r="M72" s="457">
        <f>SUM(Expenditure!T170:T173)</f>
        <v>0</v>
      </c>
      <c r="N72" s="458">
        <f>Expenditure!F173</f>
        <v>0</v>
      </c>
      <c r="R72" s="455"/>
    </row>
    <row r="73" spans="1:18" x14ac:dyDescent="0.2">
      <c r="A73" s="459" t="str">
        <f>IF(Expenditure!A175="Staffing: Add Cost Centre Description Here","Not in use",Expenditure!A175)</f>
        <v>Not in use</v>
      </c>
      <c r="B73" s="457">
        <f>SUM(Expenditure!I175:I178)</f>
        <v>0</v>
      </c>
      <c r="C73" s="457">
        <f>SUM(Expenditure!J175:J178)</f>
        <v>0</v>
      </c>
      <c r="D73" s="457">
        <f>SUM(Expenditure!K175:K178)</f>
        <v>0</v>
      </c>
      <c r="E73" s="457">
        <f>SUM(Expenditure!L175:L178)</f>
        <v>0</v>
      </c>
      <c r="F73" s="457">
        <f>SUM(Expenditure!M175:M178)</f>
        <v>0</v>
      </c>
      <c r="G73" s="457">
        <f>SUM(Expenditure!N175:N178)</f>
        <v>0</v>
      </c>
      <c r="H73" s="457">
        <f>SUM(Expenditure!O175:O178)</f>
        <v>0</v>
      </c>
      <c r="I73" s="457">
        <f>SUM(Expenditure!P175:P178)</f>
        <v>0</v>
      </c>
      <c r="J73" s="457">
        <f>SUM(Expenditure!Q175:Q178)</f>
        <v>0</v>
      </c>
      <c r="K73" s="457">
        <f>SUM(Expenditure!R175:R178)</f>
        <v>0</v>
      </c>
      <c r="L73" s="457">
        <f>SUM(Expenditure!S175:S178)</f>
        <v>0</v>
      </c>
      <c r="M73" s="457">
        <f>SUM(Expenditure!T175:T178)</f>
        <v>0</v>
      </c>
      <c r="N73" s="458">
        <f>Expenditure!F178</f>
        <v>0</v>
      </c>
      <c r="R73" s="455"/>
    </row>
    <row r="74" spans="1:18" x14ac:dyDescent="0.2">
      <c r="A74" s="459" t="str">
        <f>IF(Expenditure!A180="Add Cost Centre Description Here","",Expenditure!A180)</f>
        <v>Structural Maintenance Plan</v>
      </c>
      <c r="B74" s="457">
        <f>SUM(Expenditure!I180:I184)</f>
        <v>0</v>
      </c>
      <c r="C74" s="457">
        <f>SUM(Expenditure!J180:J184)</f>
        <v>0</v>
      </c>
      <c r="D74" s="457">
        <f>SUM(Expenditure!K180:K184)</f>
        <v>0</v>
      </c>
      <c r="E74" s="457">
        <f>SUM(Expenditure!L180:L184)</f>
        <v>0</v>
      </c>
      <c r="F74" s="457">
        <f>SUM(Expenditure!M180:M184)</f>
        <v>0</v>
      </c>
      <c r="G74" s="457">
        <f>SUM(Expenditure!N180:N184)</f>
        <v>0</v>
      </c>
      <c r="H74" s="457">
        <f>SUM(Expenditure!O180:O184)</f>
        <v>0</v>
      </c>
      <c r="I74" s="457">
        <f>SUM(Expenditure!P180:P184)</f>
        <v>0</v>
      </c>
      <c r="J74" s="457">
        <f>SUM(Expenditure!Q180:Q184)</f>
        <v>0</v>
      </c>
      <c r="K74" s="457">
        <f>SUM(Expenditure!R180:R184)</f>
        <v>0</v>
      </c>
      <c r="L74" s="457">
        <f>SUM(Expenditure!S180:S184)</f>
        <v>0</v>
      </c>
      <c r="M74" s="457">
        <f>SUM(Expenditure!T180:T184)</f>
        <v>0</v>
      </c>
      <c r="N74" s="458">
        <f>Expenditure!F184</f>
        <v>0</v>
      </c>
      <c r="R74" s="455"/>
    </row>
    <row r="75" spans="1:18" x14ac:dyDescent="0.2">
      <c r="A75" s="459" t="str">
        <f>IF(Expenditure!A186="Add Cost Centre Description Here","",Expenditure!A186)</f>
        <v>Buildings - Upkeep</v>
      </c>
      <c r="B75" s="457">
        <f>SUM(Expenditure!I186:I197)</f>
        <v>980.16666666666674</v>
      </c>
      <c r="C75" s="457">
        <f>SUM(Expenditure!J186:J197)</f>
        <v>291.66666666666669</v>
      </c>
      <c r="D75" s="457">
        <f>SUM(Expenditure!K186:K197)</f>
        <v>291.66666666666669</v>
      </c>
      <c r="E75" s="457">
        <f>SUM(Expenditure!L186:L197)</f>
        <v>980.16666666666674</v>
      </c>
      <c r="F75" s="457">
        <f>SUM(Expenditure!M186:M197)</f>
        <v>291.66666666666669</v>
      </c>
      <c r="G75" s="457">
        <f>SUM(Expenditure!N186:N197)</f>
        <v>291.66666666666669</v>
      </c>
      <c r="H75" s="457">
        <f>SUM(Expenditure!O186:O197)</f>
        <v>980.16666666666674</v>
      </c>
      <c r="I75" s="457">
        <f>SUM(Expenditure!P186:P197)</f>
        <v>291.66666666666669</v>
      </c>
      <c r="J75" s="457">
        <f>SUM(Expenditure!Q186:Q197)</f>
        <v>291.66666666666669</v>
      </c>
      <c r="K75" s="457">
        <f>SUM(Expenditure!R186:R197)</f>
        <v>980.16666666666674</v>
      </c>
      <c r="L75" s="457">
        <f>SUM(Expenditure!S186:S197)</f>
        <v>291.66666666666669</v>
      </c>
      <c r="M75" s="457">
        <f>SUM(Expenditure!T186:T197)</f>
        <v>291.66666666666669</v>
      </c>
      <c r="N75" s="458">
        <f>Expenditure!F197</f>
        <v>6254</v>
      </c>
      <c r="R75" s="455"/>
    </row>
    <row r="76" spans="1:18" x14ac:dyDescent="0.2">
      <c r="A76" s="459" t="str">
        <f>IF(Expenditure!A199="Add Cost Centre Description Here","",Expenditure!A199)</f>
        <v xml:space="preserve">Revenue Contribution to Capital </v>
      </c>
      <c r="B76" s="457">
        <f>SUM(Expenditure!I199:I203)</f>
        <v>0</v>
      </c>
      <c r="C76" s="457">
        <f>SUM(Expenditure!J199:J203)</f>
        <v>0</v>
      </c>
      <c r="D76" s="457">
        <f>SUM(Expenditure!K199:K203)</f>
        <v>0</v>
      </c>
      <c r="E76" s="457">
        <f>SUM(Expenditure!L199:L203)</f>
        <v>0</v>
      </c>
      <c r="F76" s="457">
        <f>SUM(Expenditure!M199:M203)</f>
        <v>0</v>
      </c>
      <c r="G76" s="457">
        <f>SUM(Expenditure!N199:N203)</f>
        <v>0</v>
      </c>
      <c r="H76" s="457">
        <f>SUM(Expenditure!O199:O203)</f>
        <v>0</v>
      </c>
      <c r="I76" s="457">
        <f>SUM(Expenditure!P199:P203)</f>
        <v>0</v>
      </c>
      <c r="J76" s="457">
        <f>SUM(Expenditure!Q199:Q203)</f>
        <v>0</v>
      </c>
      <c r="K76" s="457">
        <f>SUM(Expenditure!R199:R203)</f>
        <v>0</v>
      </c>
      <c r="L76" s="457">
        <f>SUM(Expenditure!S199:S203)</f>
        <v>0</v>
      </c>
      <c r="M76" s="457">
        <f>SUM(Expenditure!T199:T203)</f>
        <v>0</v>
      </c>
      <c r="N76" s="458">
        <f>Expenditure!F203</f>
        <v>0</v>
      </c>
      <c r="R76" s="455"/>
    </row>
    <row r="77" spans="1:18" x14ac:dyDescent="0.2">
      <c r="A77" s="459" t="s">
        <v>697</v>
      </c>
      <c r="B77" s="457">
        <f>SUM(Capital!L30:L35)</f>
        <v>0</v>
      </c>
      <c r="C77" s="457">
        <f>SUM(Capital!M30:M35)</f>
        <v>0</v>
      </c>
      <c r="D77" s="457">
        <f>SUM(Capital!N30:N35)</f>
        <v>0</v>
      </c>
      <c r="E77" s="457">
        <f>SUM(Capital!O30:O35)</f>
        <v>0</v>
      </c>
      <c r="F77" s="457">
        <f>SUM(Capital!P30:P35)</f>
        <v>0</v>
      </c>
      <c r="G77" s="457">
        <f>SUM(Capital!Q30:Q35)</f>
        <v>0</v>
      </c>
      <c r="H77" s="457">
        <f>SUM(Capital!R30:R35)</f>
        <v>0</v>
      </c>
      <c r="I77" s="457">
        <f>SUM(Capital!S30:S35)</f>
        <v>0</v>
      </c>
      <c r="J77" s="457">
        <f>SUM(Capital!T30:T35)</f>
        <v>0</v>
      </c>
      <c r="K77" s="457">
        <f>SUM(Capital!U30:U35)</f>
        <v>0</v>
      </c>
      <c r="L77" s="457">
        <f>SUM(Capital!V30:V35)</f>
        <v>0</v>
      </c>
      <c r="M77" s="457">
        <f>SUM(Capital!W30:W35)</f>
        <v>0</v>
      </c>
      <c r="N77" s="458">
        <f>Capital!H37</f>
        <v>0</v>
      </c>
      <c r="R77" s="455"/>
    </row>
    <row r="78" spans="1:18" x14ac:dyDescent="0.2">
      <c r="A78" s="459" t="str">
        <f>IF(Expenditure!A205="Add Cost Centre Description Here","",Expenditure!A205)</f>
        <v>Grounds - Upkeep</v>
      </c>
      <c r="B78" s="457">
        <f>SUM(Expenditure!I205:I210)</f>
        <v>195</v>
      </c>
      <c r="C78" s="457">
        <f>SUM(Expenditure!J205:J210)</f>
        <v>195</v>
      </c>
      <c r="D78" s="457">
        <f>SUM(Expenditure!K205:K210)</f>
        <v>195</v>
      </c>
      <c r="E78" s="457">
        <f>SUM(Expenditure!L205:L210)</f>
        <v>195</v>
      </c>
      <c r="F78" s="457">
        <f>SUM(Expenditure!M205:M210)</f>
        <v>195</v>
      </c>
      <c r="G78" s="457">
        <f>SUM(Expenditure!N205:N210)</f>
        <v>195</v>
      </c>
      <c r="H78" s="457">
        <f>SUM(Expenditure!O205:O210)</f>
        <v>195</v>
      </c>
      <c r="I78" s="457">
        <f>SUM(Expenditure!P205:P210)</f>
        <v>195</v>
      </c>
      <c r="J78" s="457">
        <f>SUM(Expenditure!Q205:Q210)</f>
        <v>195</v>
      </c>
      <c r="K78" s="457">
        <f>SUM(Expenditure!R205:R210)</f>
        <v>195</v>
      </c>
      <c r="L78" s="457">
        <f>SUM(Expenditure!S205:S210)</f>
        <v>195</v>
      </c>
      <c r="M78" s="457">
        <f>SUM(Expenditure!T205:T210)</f>
        <v>195</v>
      </c>
      <c r="N78" s="458">
        <f>Expenditure!F210</f>
        <v>2340</v>
      </c>
      <c r="R78" s="455"/>
    </row>
    <row r="79" spans="1:18" x14ac:dyDescent="0.2">
      <c r="A79" s="459" t="str">
        <f>IF(Expenditure!A212="Add Cost Centre Description Here","",Expenditure!A212)</f>
        <v>Cleaning</v>
      </c>
      <c r="B79" s="457">
        <f>SUM(Expenditure!I212:I222)</f>
        <v>489.43333333333334</v>
      </c>
      <c r="C79" s="457">
        <f>SUM(Expenditure!J212:J222)</f>
        <v>159.93333333333334</v>
      </c>
      <c r="D79" s="457">
        <f>SUM(Expenditure!K212:K222)</f>
        <v>159.93333333333334</v>
      </c>
      <c r="E79" s="457">
        <f>SUM(Expenditure!L212:L222)</f>
        <v>289.43333333333334</v>
      </c>
      <c r="F79" s="457">
        <f>SUM(Expenditure!M212:M222)</f>
        <v>159.93333333333334</v>
      </c>
      <c r="G79" s="457">
        <f>SUM(Expenditure!N212:N222)</f>
        <v>159.93333333333334</v>
      </c>
      <c r="H79" s="457">
        <f>SUM(Expenditure!O212:O222)</f>
        <v>289.43333333333334</v>
      </c>
      <c r="I79" s="457">
        <f>SUM(Expenditure!P212:P222)</f>
        <v>159.93333333333334</v>
      </c>
      <c r="J79" s="457">
        <f>SUM(Expenditure!Q212:Q222)</f>
        <v>159.93333333333334</v>
      </c>
      <c r="K79" s="457">
        <f>SUM(Expenditure!R212:R222)</f>
        <v>289.43333333333334</v>
      </c>
      <c r="L79" s="457">
        <f>SUM(Expenditure!S212:S222)</f>
        <v>159.93333333333334</v>
      </c>
      <c r="M79" s="457">
        <f>SUM(Expenditure!T212:T222)</f>
        <v>159.93333333333334</v>
      </c>
      <c r="N79" s="458">
        <f>Expenditure!F222</f>
        <v>2437.1999999999998</v>
      </c>
      <c r="R79" s="455"/>
    </row>
    <row r="80" spans="1:18" x14ac:dyDescent="0.2">
      <c r="A80" s="459" t="str">
        <f>IF(Expenditure!A224="Add Cost Centre Description Here","",Expenditure!A224)</f>
        <v>Fuel</v>
      </c>
      <c r="B80" s="457">
        <f>SUM(Expenditure!I224:I227)</f>
        <v>1332.5</v>
      </c>
      <c r="C80" s="457">
        <f>SUM(Expenditure!J224:J227)</f>
        <v>0</v>
      </c>
      <c r="D80" s="457">
        <f>SUM(Expenditure!K224:K227)</f>
        <v>0</v>
      </c>
      <c r="E80" s="457">
        <f>SUM(Expenditure!L224:L227)</f>
        <v>1332.5</v>
      </c>
      <c r="F80" s="457">
        <f>SUM(Expenditure!M224:M227)</f>
        <v>0</v>
      </c>
      <c r="G80" s="457">
        <f>SUM(Expenditure!N224:N227)</f>
        <v>0</v>
      </c>
      <c r="H80" s="457">
        <f>SUM(Expenditure!O224:O227)</f>
        <v>1332.5</v>
      </c>
      <c r="I80" s="457">
        <f>SUM(Expenditure!P224:P227)</f>
        <v>832</v>
      </c>
      <c r="J80" s="457">
        <f>SUM(Expenditure!Q224:Q227)</f>
        <v>0</v>
      </c>
      <c r="K80" s="457">
        <f>SUM(Expenditure!R224:R227)</f>
        <v>2164.5</v>
      </c>
      <c r="L80" s="457">
        <f>SUM(Expenditure!S224:S227)</f>
        <v>0</v>
      </c>
      <c r="M80" s="457">
        <f>SUM(Expenditure!T224:T227)</f>
        <v>833</v>
      </c>
      <c r="N80" s="458">
        <f>Expenditure!F227</f>
        <v>7827</v>
      </c>
      <c r="R80" s="455"/>
    </row>
    <row r="81" spans="1:18" x14ac:dyDescent="0.2">
      <c r="A81" s="459" t="str">
        <f>IF(Expenditure!A229="Add Cost Centre Description Here","",Expenditure!A229)</f>
        <v>Water</v>
      </c>
      <c r="B81" s="457">
        <f>SUM(Expenditure!I229:I231)</f>
        <v>123.25</v>
      </c>
      <c r="C81" s="457">
        <f>SUM(Expenditure!J229:J231)</f>
        <v>36.25</v>
      </c>
      <c r="D81" s="457">
        <f>SUM(Expenditure!K229:K231)</f>
        <v>36.25</v>
      </c>
      <c r="E81" s="457">
        <f>SUM(Expenditure!L229:L231)</f>
        <v>123.25</v>
      </c>
      <c r="F81" s="457">
        <f>SUM(Expenditure!M229:M231)</f>
        <v>36.25</v>
      </c>
      <c r="G81" s="457">
        <f>SUM(Expenditure!N229:N231)</f>
        <v>36.25</v>
      </c>
      <c r="H81" s="457">
        <f>SUM(Expenditure!O229:O231)</f>
        <v>123.25</v>
      </c>
      <c r="I81" s="457">
        <f>SUM(Expenditure!P229:P231)</f>
        <v>36.25</v>
      </c>
      <c r="J81" s="457">
        <f>SUM(Expenditure!Q229:Q231)</f>
        <v>36.25</v>
      </c>
      <c r="K81" s="457">
        <f>SUM(Expenditure!R229:R231)</f>
        <v>123.25</v>
      </c>
      <c r="L81" s="457">
        <f>SUM(Expenditure!S229:S231)</f>
        <v>36.25</v>
      </c>
      <c r="M81" s="457">
        <f>SUM(Expenditure!T229:T231)</f>
        <v>36.25</v>
      </c>
      <c r="N81" s="458">
        <f>Expenditure!F231</f>
        <v>783</v>
      </c>
      <c r="R81" s="455"/>
    </row>
    <row r="82" spans="1:18" x14ac:dyDescent="0.2">
      <c r="A82" s="459" t="str">
        <f>IF(Expenditure!A233="Add Cost Centre Description Here","",Expenditure!A233)</f>
        <v>Furniture</v>
      </c>
      <c r="B82" s="457">
        <f>SUM(Expenditure!I233:I234)</f>
        <v>0</v>
      </c>
      <c r="C82" s="457">
        <f>SUM(Expenditure!J233:J234)</f>
        <v>0</v>
      </c>
      <c r="D82" s="457">
        <f>SUM(Expenditure!K233:K234)</f>
        <v>0</v>
      </c>
      <c r="E82" s="457">
        <f>SUM(Expenditure!L233:L234)</f>
        <v>0</v>
      </c>
      <c r="F82" s="457">
        <f>SUM(Expenditure!M233:M234)</f>
        <v>0</v>
      </c>
      <c r="G82" s="457">
        <f>SUM(Expenditure!N233:N234)</f>
        <v>0</v>
      </c>
      <c r="H82" s="457">
        <f>SUM(Expenditure!O233:O234)</f>
        <v>0</v>
      </c>
      <c r="I82" s="457">
        <f>SUM(Expenditure!P233:P234)</f>
        <v>0</v>
      </c>
      <c r="J82" s="457">
        <f>SUM(Expenditure!Q233:Q234)</f>
        <v>0</v>
      </c>
      <c r="K82" s="457">
        <f>SUM(Expenditure!R233:R234)</f>
        <v>0</v>
      </c>
      <c r="L82" s="457">
        <f>SUM(Expenditure!S233:S234)</f>
        <v>0</v>
      </c>
      <c r="M82" s="457">
        <f>SUM(Expenditure!T233:T234)</f>
        <v>0</v>
      </c>
      <c r="N82" s="458">
        <f>Expenditure!F234</f>
        <v>0</v>
      </c>
      <c r="R82" s="455"/>
    </row>
    <row r="83" spans="1:18" x14ac:dyDescent="0.2">
      <c r="A83" s="459" t="str">
        <f>IF(Expenditure!A236="Add Cost Centre Description Here","",Expenditure!A236)</f>
        <v>Rent and Rates</v>
      </c>
      <c r="B83" s="457">
        <f>SUM(Expenditure!I236:I237)</f>
        <v>831.66666666666663</v>
      </c>
      <c r="C83" s="457">
        <f>SUM(Expenditure!J236:J237)</f>
        <v>831.66666666666663</v>
      </c>
      <c r="D83" s="457">
        <f>SUM(Expenditure!K236:K237)</f>
        <v>831.66666666666663</v>
      </c>
      <c r="E83" s="457">
        <f>SUM(Expenditure!L236:L237)</f>
        <v>831.66666666666663</v>
      </c>
      <c r="F83" s="457">
        <f>SUM(Expenditure!M236:M237)</f>
        <v>831.66666666666663</v>
      </c>
      <c r="G83" s="457">
        <f>SUM(Expenditure!N236:N237)</f>
        <v>831.66666666666663</v>
      </c>
      <c r="H83" s="457">
        <f>SUM(Expenditure!O236:O237)</f>
        <v>831.66666666666663</v>
      </c>
      <c r="I83" s="457">
        <f>SUM(Expenditure!P236:P237)</f>
        <v>831.66666666666663</v>
      </c>
      <c r="J83" s="457">
        <f>SUM(Expenditure!Q236:Q237)</f>
        <v>831.66666666666663</v>
      </c>
      <c r="K83" s="457">
        <f>SUM(Expenditure!R236:R237)</f>
        <v>831.66666666666663</v>
      </c>
      <c r="L83" s="457">
        <f>SUM(Expenditure!S236:S237)</f>
        <v>831.66666666666663</v>
      </c>
      <c r="M83" s="457">
        <f>SUM(Expenditure!T236:T237)</f>
        <v>831.66666666666663</v>
      </c>
      <c r="N83" s="458">
        <f>Expenditure!F237</f>
        <v>9980</v>
      </c>
      <c r="R83" s="455"/>
    </row>
    <row r="84" spans="1:18" x14ac:dyDescent="0.2">
      <c r="A84" s="459" t="str">
        <f>IF(Expenditure!A239="Premises: Add Cost Centre Description Here","Not in use",Expenditure!A239)</f>
        <v>Not in use</v>
      </c>
      <c r="B84" s="457">
        <f>SUM(Expenditure!I239:I242)</f>
        <v>0</v>
      </c>
      <c r="C84" s="457">
        <f>SUM(Expenditure!J239:J242)</f>
        <v>0</v>
      </c>
      <c r="D84" s="457">
        <f>SUM(Expenditure!K239:K242)</f>
        <v>0</v>
      </c>
      <c r="E84" s="457">
        <f>SUM(Expenditure!L239:L242)</f>
        <v>0</v>
      </c>
      <c r="F84" s="457">
        <f>SUM(Expenditure!M239:M242)</f>
        <v>0</v>
      </c>
      <c r="G84" s="457">
        <f>SUM(Expenditure!N239:N242)</f>
        <v>0</v>
      </c>
      <c r="H84" s="457">
        <f>SUM(Expenditure!O239:O242)</f>
        <v>0</v>
      </c>
      <c r="I84" s="457">
        <f>SUM(Expenditure!P239:P242)</f>
        <v>0</v>
      </c>
      <c r="J84" s="457">
        <f>SUM(Expenditure!Q239:Q242)</f>
        <v>0</v>
      </c>
      <c r="K84" s="457">
        <f>SUM(Expenditure!R239:R242)</f>
        <v>0</v>
      </c>
      <c r="L84" s="457">
        <f>SUM(Expenditure!S239:S242)</f>
        <v>0</v>
      </c>
      <c r="M84" s="457">
        <f>SUM(Expenditure!T239:T242)</f>
        <v>0</v>
      </c>
      <c r="N84" s="458">
        <f>Expenditure!F242</f>
        <v>0</v>
      </c>
      <c r="R84" s="455"/>
    </row>
    <row r="85" spans="1:18" x14ac:dyDescent="0.2">
      <c r="A85" s="459" t="str">
        <f>IF(Expenditure!A244="Premises: Add Cost Centre Description Here","Not in use",Expenditure!A244)</f>
        <v>Not in use</v>
      </c>
      <c r="B85" s="457">
        <f>SUM(Expenditure!I244:I247)</f>
        <v>0</v>
      </c>
      <c r="C85" s="457">
        <f>SUM(Expenditure!J244:J247)</f>
        <v>0</v>
      </c>
      <c r="D85" s="457">
        <f>SUM(Expenditure!K244:K247)</f>
        <v>0</v>
      </c>
      <c r="E85" s="457">
        <f>SUM(Expenditure!L244:L247)</f>
        <v>0</v>
      </c>
      <c r="F85" s="457">
        <f>SUM(Expenditure!M244:M247)</f>
        <v>0</v>
      </c>
      <c r="G85" s="457">
        <f>SUM(Expenditure!N244:N247)</f>
        <v>0</v>
      </c>
      <c r="H85" s="457">
        <f>SUM(Expenditure!O244:O247)</f>
        <v>0</v>
      </c>
      <c r="I85" s="457">
        <f>SUM(Expenditure!P244:P247)</f>
        <v>0</v>
      </c>
      <c r="J85" s="457">
        <f>SUM(Expenditure!Q244:Q247)</f>
        <v>0</v>
      </c>
      <c r="K85" s="457">
        <f>SUM(Expenditure!R244:R247)</f>
        <v>0</v>
      </c>
      <c r="L85" s="457">
        <f>SUM(Expenditure!S244:S247)</f>
        <v>0</v>
      </c>
      <c r="M85" s="457">
        <f>SUM(Expenditure!T244:T247)</f>
        <v>0</v>
      </c>
      <c r="N85" s="458">
        <f>Expenditure!F247</f>
        <v>0</v>
      </c>
      <c r="R85" s="455" t="str">
        <f t="shared" si="0"/>
        <v/>
      </c>
    </row>
    <row r="86" spans="1:18" x14ac:dyDescent="0.2">
      <c r="A86" s="459" t="str">
        <f>IF(Expenditure!A249="Premises: Add Cost Centre Description Here","Not in use",Expenditure!A249)</f>
        <v>Not in use</v>
      </c>
      <c r="B86" s="457">
        <f>SUM(Expenditure!I249:I252)</f>
        <v>0</v>
      </c>
      <c r="C86" s="457">
        <f>SUM(Expenditure!J249:J252)</f>
        <v>0</v>
      </c>
      <c r="D86" s="457">
        <f>SUM(Expenditure!K249:K252)</f>
        <v>0</v>
      </c>
      <c r="E86" s="457">
        <f>SUM(Expenditure!L249:L252)</f>
        <v>0</v>
      </c>
      <c r="F86" s="457">
        <f>SUM(Expenditure!M249:M252)</f>
        <v>0</v>
      </c>
      <c r="G86" s="457">
        <f>SUM(Expenditure!N249:N252)</f>
        <v>0</v>
      </c>
      <c r="H86" s="457">
        <f>SUM(Expenditure!O249:O252)</f>
        <v>0</v>
      </c>
      <c r="I86" s="457">
        <f>SUM(Expenditure!P249:P252)</f>
        <v>0</v>
      </c>
      <c r="J86" s="457">
        <f>SUM(Expenditure!Q249:Q252)</f>
        <v>0</v>
      </c>
      <c r="K86" s="457">
        <f>SUM(Expenditure!R249:R252)</f>
        <v>0</v>
      </c>
      <c r="L86" s="457">
        <f>SUM(Expenditure!S249:S252)</f>
        <v>0</v>
      </c>
      <c r="M86" s="457">
        <f>SUM(Expenditure!T249:T252)</f>
        <v>0</v>
      </c>
      <c r="N86" s="458">
        <f>Expenditure!F252</f>
        <v>0</v>
      </c>
      <c r="R86" s="455" t="str">
        <f t="shared" si="0"/>
        <v/>
      </c>
    </row>
    <row r="87" spans="1:18" x14ac:dyDescent="0.2">
      <c r="A87" s="459" t="str">
        <f>IF(Expenditure!A254="Premises: Add Cost Centre Description Here","Not in use",Expenditure!A254)</f>
        <v>Not in use</v>
      </c>
      <c r="B87" s="457">
        <f>SUM(Expenditure!I254:I257)</f>
        <v>0</v>
      </c>
      <c r="C87" s="457">
        <f>SUM(Expenditure!J254:J257)</f>
        <v>0</v>
      </c>
      <c r="D87" s="457">
        <f>SUM(Expenditure!K254:K257)</f>
        <v>0</v>
      </c>
      <c r="E87" s="457">
        <f>SUM(Expenditure!L254:L257)</f>
        <v>0</v>
      </c>
      <c r="F87" s="457">
        <f>SUM(Expenditure!M254:M257)</f>
        <v>0</v>
      </c>
      <c r="G87" s="457">
        <f>SUM(Expenditure!N254:N257)</f>
        <v>0</v>
      </c>
      <c r="H87" s="457">
        <f>SUM(Expenditure!O254:O257)</f>
        <v>0</v>
      </c>
      <c r="I87" s="457">
        <f>SUM(Expenditure!P254:P257)</f>
        <v>0</v>
      </c>
      <c r="J87" s="457">
        <f>SUM(Expenditure!Q254:Q257)</f>
        <v>0</v>
      </c>
      <c r="K87" s="457">
        <f>SUM(Expenditure!R254:R257)</f>
        <v>0</v>
      </c>
      <c r="L87" s="457">
        <f>SUM(Expenditure!S254:S257)</f>
        <v>0</v>
      </c>
      <c r="M87" s="457">
        <f>SUM(Expenditure!T254:T257)</f>
        <v>0</v>
      </c>
      <c r="N87" s="458">
        <f>Expenditure!F257</f>
        <v>0</v>
      </c>
      <c r="R87" s="455" t="str">
        <f t="shared" si="0"/>
        <v/>
      </c>
    </row>
    <row r="88" spans="1:18" x14ac:dyDescent="0.2">
      <c r="A88" s="459" t="str">
        <f>IF(Expenditure!A259="Premises: Add Cost Centre Description Here","Not in use",Expenditure!A259)</f>
        <v>Not in use</v>
      </c>
      <c r="B88" s="457">
        <f>SUM(Expenditure!I259:I262)</f>
        <v>0</v>
      </c>
      <c r="C88" s="457">
        <f>SUM(Expenditure!J259:J262)</f>
        <v>0</v>
      </c>
      <c r="D88" s="457">
        <f>SUM(Expenditure!K259:K262)</f>
        <v>0</v>
      </c>
      <c r="E88" s="457">
        <f>SUM(Expenditure!L259:L262)</f>
        <v>0</v>
      </c>
      <c r="F88" s="457">
        <f>SUM(Expenditure!M259:M262)</f>
        <v>0</v>
      </c>
      <c r="G88" s="457">
        <f>SUM(Expenditure!N259:N262)</f>
        <v>0</v>
      </c>
      <c r="H88" s="457">
        <f>SUM(Expenditure!O259:O262)</f>
        <v>0</v>
      </c>
      <c r="I88" s="457">
        <f>SUM(Expenditure!P259:P262)</f>
        <v>0</v>
      </c>
      <c r="J88" s="457">
        <f>SUM(Expenditure!Q259:Q262)</f>
        <v>0</v>
      </c>
      <c r="K88" s="457">
        <f>SUM(Expenditure!R259:R262)</f>
        <v>0</v>
      </c>
      <c r="L88" s="457">
        <f>SUM(Expenditure!S259:S262)</f>
        <v>0</v>
      </c>
      <c r="M88" s="457">
        <f>SUM(Expenditure!T259:T262)</f>
        <v>0</v>
      </c>
      <c r="N88" s="458">
        <f>Expenditure!F262</f>
        <v>0</v>
      </c>
      <c r="R88" s="455" t="str">
        <f t="shared" si="0"/>
        <v/>
      </c>
    </row>
    <row r="89" spans="1:18" x14ac:dyDescent="0.2">
      <c r="A89" s="459" t="str">
        <f>IF(Expenditure!A264="Premises: Add Cost Centre Description Here","Not in use",Expenditure!A264)</f>
        <v>Not in use</v>
      </c>
      <c r="B89" s="457">
        <f>SUM(Expenditure!I264:I267)</f>
        <v>0</v>
      </c>
      <c r="C89" s="457">
        <f>SUM(Expenditure!J264:J267)</f>
        <v>0</v>
      </c>
      <c r="D89" s="457">
        <f>SUM(Expenditure!K264:K267)</f>
        <v>0</v>
      </c>
      <c r="E89" s="457">
        <f>SUM(Expenditure!L264:L267)</f>
        <v>0</v>
      </c>
      <c r="F89" s="457">
        <f>SUM(Expenditure!M264:M267)</f>
        <v>0</v>
      </c>
      <c r="G89" s="457">
        <f>SUM(Expenditure!N264:N267)</f>
        <v>0</v>
      </c>
      <c r="H89" s="457">
        <f>SUM(Expenditure!O264:O267)</f>
        <v>0</v>
      </c>
      <c r="I89" s="457">
        <f>SUM(Expenditure!P264:P267)</f>
        <v>0</v>
      </c>
      <c r="J89" s="457">
        <f>SUM(Expenditure!Q264:Q267)</f>
        <v>0</v>
      </c>
      <c r="K89" s="457">
        <f>SUM(Expenditure!R264:R267)</f>
        <v>0</v>
      </c>
      <c r="L89" s="457">
        <f>SUM(Expenditure!S264:S267)</f>
        <v>0</v>
      </c>
      <c r="M89" s="457">
        <f>SUM(Expenditure!T264:T267)</f>
        <v>0</v>
      </c>
      <c r="N89" s="458">
        <f>Expenditure!F267</f>
        <v>0</v>
      </c>
      <c r="R89" s="455" t="str">
        <f t="shared" si="0"/>
        <v/>
      </c>
    </row>
    <row r="90" spans="1:18" x14ac:dyDescent="0.2">
      <c r="A90" s="459" t="str">
        <f>IF(Expenditure!A269="Add Cost Centre Description Here","",Expenditure!A269)</f>
        <v>Curriculum</v>
      </c>
      <c r="B90" s="457">
        <f>SUM(Expenditure!I269:I278)</f>
        <v>1421.3333333333333</v>
      </c>
      <c r="C90" s="457">
        <f>SUM(Expenditure!J269:J278)</f>
        <v>0</v>
      </c>
      <c r="D90" s="457">
        <f>SUM(Expenditure!K269:K278)</f>
        <v>0</v>
      </c>
      <c r="E90" s="457">
        <f>SUM(Expenditure!L269:L278)</f>
        <v>0</v>
      </c>
      <c r="F90" s="457">
        <f>SUM(Expenditure!M269:M278)</f>
        <v>0</v>
      </c>
      <c r="G90" s="457">
        <f>SUM(Expenditure!N269:N278)</f>
        <v>1421.3333333333333</v>
      </c>
      <c r="H90" s="457">
        <f>SUM(Expenditure!O269:O278)</f>
        <v>0</v>
      </c>
      <c r="I90" s="457">
        <f>SUM(Expenditure!P269:P278)</f>
        <v>0</v>
      </c>
      <c r="J90" s="457">
        <f>SUM(Expenditure!Q269:Q278)</f>
        <v>0</v>
      </c>
      <c r="K90" s="457">
        <f>SUM(Expenditure!R269:R278)</f>
        <v>1421.3333333333333</v>
      </c>
      <c r="L90" s="457">
        <f>SUM(Expenditure!S269:S278)</f>
        <v>0</v>
      </c>
      <c r="M90" s="457">
        <f>SUM(Expenditure!T269:T278)</f>
        <v>0</v>
      </c>
      <c r="N90" s="458">
        <f>Expenditure!F278</f>
        <v>4264</v>
      </c>
      <c r="R90" s="455" t="str">
        <f t="shared" si="0"/>
        <v/>
      </c>
    </row>
    <row r="91" spans="1:18" x14ac:dyDescent="0.2">
      <c r="A91" s="459" t="str">
        <f>IF(Expenditure!A280="Add Cost Centre Description Here","",Expenditure!A280)</f>
        <v>Fees Expenditure - Pupils</v>
      </c>
      <c r="B91" s="457">
        <f>SUM(Expenditure!I280:I283)</f>
        <v>0</v>
      </c>
      <c r="C91" s="457">
        <f>SUM(Expenditure!J280:J283)</f>
        <v>0</v>
      </c>
      <c r="D91" s="457">
        <f>SUM(Expenditure!K280:K283)</f>
        <v>0</v>
      </c>
      <c r="E91" s="457">
        <f>SUM(Expenditure!L280:L283)</f>
        <v>0</v>
      </c>
      <c r="F91" s="457">
        <f>SUM(Expenditure!M280:M283)</f>
        <v>0</v>
      </c>
      <c r="G91" s="457">
        <f>SUM(Expenditure!N280:N283)</f>
        <v>0</v>
      </c>
      <c r="H91" s="457">
        <f>SUM(Expenditure!O280:O283)</f>
        <v>0</v>
      </c>
      <c r="I91" s="457">
        <f>SUM(Expenditure!P280:P283)</f>
        <v>0</v>
      </c>
      <c r="J91" s="457">
        <f>SUM(Expenditure!Q280:Q283)</f>
        <v>0</v>
      </c>
      <c r="K91" s="457">
        <f>SUM(Expenditure!R280:R283)</f>
        <v>0</v>
      </c>
      <c r="L91" s="457">
        <f>SUM(Expenditure!S280:S283)</f>
        <v>0</v>
      </c>
      <c r="M91" s="457">
        <f>SUM(Expenditure!T280:T283)</f>
        <v>0</v>
      </c>
      <c r="N91" s="458">
        <f>Expenditure!F283</f>
        <v>0</v>
      </c>
      <c r="R91" s="455"/>
    </row>
    <row r="92" spans="1:18" x14ac:dyDescent="0.2">
      <c r="A92" s="459" t="str">
        <f>IF(Expenditure!A285="Curriculum: Add Cost Centre Description Here","Not in use",Expenditure!A285)</f>
        <v>Swimming Expenditure</v>
      </c>
      <c r="B92" s="457">
        <f>SUM(Expenditure!I285:I288)</f>
        <v>320</v>
      </c>
      <c r="C92" s="457">
        <f>SUM(Expenditure!J285:J288)</f>
        <v>0</v>
      </c>
      <c r="D92" s="457">
        <f>SUM(Expenditure!K285:K288)</f>
        <v>0</v>
      </c>
      <c r="E92" s="457">
        <f>SUM(Expenditure!L285:L288)</f>
        <v>0</v>
      </c>
      <c r="F92" s="457">
        <f>SUM(Expenditure!M285:M288)</f>
        <v>0</v>
      </c>
      <c r="G92" s="457">
        <f>SUM(Expenditure!N285:N288)</f>
        <v>320</v>
      </c>
      <c r="H92" s="457">
        <f>SUM(Expenditure!O285:O288)</f>
        <v>0</v>
      </c>
      <c r="I92" s="457">
        <f>SUM(Expenditure!P285:P288)</f>
        <v>0</v>
      </c>
      <c r="J92" s="457">
        <f>SUM(Expenditure!Q285:Q288)</f>
        <v>0</v>
      </c>
      <c r="K92" s="457">
        <f>SUM(Expenditure!R285:R288)</f>
        <v>320</v>
      </c>
      <c r="L92" s="457">
        <f>SUM(Expenditure!S285:S288)</f>
        <v>0</v>
      </c>
      <c r="M92" s="457">
        <f>SUM(Expenditure!T285:T288)</f>
        <v>0</v>
      </c>
      <c r="N92" s="458">
        <f>Expenditure!F288</f>
        <v>960</v>
      </c>
      <c r="R92" s="455"/>
    </row>
    <row r="93" spans="1:18" x14ac:dyDescent="0.2">
      <c r="A93" s="459" t="str">
        <f>IF(Expenditure!A290="Curriculum: Add Cost Centre Description Here","Not in use",Expenditure!A290)</f>
        <v>Not in use</v>
      </c>
      <c r="B93" s="457">
        <f>SUM(Expenditure!I290:I293)</f>
        <v>0</v>
      </c>
      <c r="C93" s="457">
        <f>SUM(Expenditure!J290:J293)</f>
        <v>0</v>
      </c>
      <c r="D93" s="457">
        <f>SUM(Expenditure!K290:K293)</f>
        <v>0</v>
      </c>
      <c r="E93" s="457">
        <f>SUM(Expenditure!L290:L293)</f>
        <v>0</v>
      </c>
      <c r="F93" s="457">
        <f>SUM(Expenditure!M290:M293)</f>
        <v>0</v>
      </c>
      <c r="G93" s="457">
        <f>SUM(Expenditure!N290:N293)</f>
        <v>0</v>
      </c>
      <c r="H93" s="457">
        <f>SUM(Expenditure!O290:O293)</f>
        <v>0</v>
      </c>
      <c r="I93" s="457">
        <f>SUM(Expenditure!P290:P293)</f>
        <v>0</v>
      </c>
      <c r="J93" s="457">
        <f>SUM(Expenditure!Q290:Q293)</f>
        <v>0</v>
      </c>
      <c r="K93" s="457">
        <f>SUM(Expenditure!R290:R293)</f>
        <v>0</v>
      </c>
      <c r="L93" s="457">
        <f>SUM(Expenditure!S290:S293)</f>
        <v>0</v>
      </c>
      <c r="M93" s="457">
        <f>SUM(Expenditure!T290:T293)</f>
        <v>0</v>
      </c>
      <c r="N93" s="458">
        <f>Expenditure!F293</f>
        <v>0</v>
      </c>
      <c r="R93" s="455"/>
    </row>
    <row r="94" spans="1:18" x14ac:dyDescent="0.2">
      <c r="A94" s="459" t="str">
        <f>IF(Expenditure!A295="Curriculum: Add Cost Centre Description Here","Not in use",Expenditure!A295)</f>
        <v>Not in use</v>
      </c>
      <c r="B94" s="457">
        <f>SUM(Expenditure!I295:I298)</f>
        <v>0</v>
      </c>
      <c r="C94" s="457">
        <f>SUM(Expenditure!J295:J298)</f>
        <v>0</v>
      </c>
      <c r="D94" s="457">
        <f>SUM(Expenditure!K295:K298)</f>
        <v>0</v>
      </c>
      <c r="E94" s="457">
        <f>SUM(Expenditure!L295:L298)</f>
        <v>0</v>
      </c>
      <c r="F94" s="457">
        <f>SUM(Expenditure!M295:M298)</f>
        <v>0</v>
      </c>
      <c r="G94" s="457">
        <f>SUM(Expenditure!N295:N298)</f>
        <v>0</v>
      </c>
      <c r="H94" s="457">
        <f>SUM(Expenditure!O295:O298)</f>
        <v>0</v>
      </c>
      <c r="I94" s="457">
        <f>SUM(Expenditure!P295:P298)</f>
        <v>0</v>
      </c>
      <c r="J94" s="457">
        <f>SUM(Expenditure!Q295:Q298)</f>
        <v>0</v>
      </c>
      <c r="K94" s="457">
        <f>SUM(Expenditure!R295:R298)</f>
        <v>0</v>
      </c>
      <c r="L94" s="457">
        <f>SUM(Expenditure!S295:S298)</f>
        <v>0</v>
      </c>
      <c r="M94" s="457">
        <f>SUM(Expenditure!T295:T298)</f>
        <v>0</v>
      </c>
      <c r="N94" s="458">
        <f>Expenditure!F298</f>
        <v>0</v>
      </c>
      <c r="R94" s="455" t="str">
        <f t="shared" si="0"/>
        <v/>
      </c>
    </row>
    <row r="95" spans="1:18" x14ac:dyDescent="0.2">
      <c r="A95" s="459" t="str">
        <f>IF(Expenditure!A300="Curriculum: Add Cost Centre Description Here","Not in use",Expenditure!A300)</f>
        <v>Not in use</v>
      </c>
      <c r="B95" s="457">
        <f>SUM(Expenditure!I300:I303)</f>
        <v>0</v>
      </c>
      <c r="C95" s="457">
        <f>SUM(Expenditure!J300:J303)</f>
        <v>0</v>
      </c>
      <c r="D95" s="457">
        <f>SUM(Expenditure!K300:K303)</f>
        <v>0</v>
      </c>
      <c r="E95" s="457">
        <f>SUM(Expenditure!L300:L303)</f>
        <v>0</v>
      </c>
      <c r="F95" s="457">
        <f>SUM(Expenditure!M300:M303)</f>
        <v>0</v>
      </c>
      <c r="G95" s="457">
        <f>SUM(Expenditure!N300:N303)</f>
        <v>0</v>
      </c>
      <c r="H95" s="457">
        <f>SUM(Expenditure!O300:O303)</f>
        <v>0</v>
      </c>
      <c r="I95" s="457">
        <f>SUM(Expenditure!P300:P303)</f>
        <v>0</v>
      </c>
      <c r="J95" s="457">
        <f>SUM(Expenditure!Q300:Q303)</f>
        <v>0</v>
      </c>
      <c r="K95" s="457">
        <f>SUM(Expenditure!R300:R303)</f>
        <v>0</v>
      </c>
      <c r="L95" s="457">
        <f>SUM(Expenditure!S300:S303)</f>
        <v>0</v>
      </c>
      <c r="M95" s="457">
        <f>SUM(Expenditure!T300:T303)</f>
        <v>0</v>
      </c>
      <c r="N95" s="458">
        <f>Expenditure!F303</f>
        <v>0</v>
      </c>
      <c r="R95" s="455" t="str">
        <f t="shared" si="0"/>
        <v/>
      </c>
    </row>
    <row r="96" spans="1:18" x14ac:dyDescent="0.2">
      <c r="A96" s="459" t="str">
        <f>IF(Expenditure!A305="Curriculum: Add Cost Centre Description Here","Not in use",Expenditure!A305)</f>
        <v>Not in use</v>
      </c>
      <c r="B96" s="457">
        <f>SUM(Expenditure!I305:I308)</f>
        <v>0</v>
      </c>
      <c r="C96" s="457">
        <f>SUM(Expenditure!J305:J308)</f>
        <v>0</v>
      </c>
      <c r="D96" s="457">
        <f>SUM(Expenditure!K305:K308)</f>
        <v>0</v>
      </c>
      <c r="E96" s="457">
        <f>SUM(Expenditure!L305:L308)</f>
        <v>0</v>
      </c>
      <c r="F96" s="457">
        <f>SUM(Expenditure!M305:M308)</f>
        <v>0</v>
      </c>
      <c r="G96" s="457">
        <f>SUM(Expenditure!N305:N308)</f>
        <v>0</v>
      </c>
      <c r="H96" s="457">
        <f>SUM(Expenditure!O305:O308)</f>
        <v>0</v>
      </c>
      <c r="I96" s="457">
        <f>SUM(Expenditure!P305:P308)</f>
        <v>0</v>
      </c>
      <c r="J96" s="457">
        <f>SUM(Expenditure!Q305:Q308)</f>
        <v>0</v>
      </c>
      <c r="K96" s="457">
        <f>SUM(Expenditure!R305:R308)</f>
        <v>0</v>
      </c>
      <c r="L96" s="457">
        <f>SUM(Expenditure!S305:S308)</f>
        <v>0</v>
      </c>
      <c r="M96" s="457">
        <f>SUM(Expenditure!T305:T308)</f>
        <v>0</v>
      </c>
      <c r="N96" s="458">
        <f>Expenditure!F308</f>
        <v>0</v>
      </c>
      <c r="R96" s="455" t="str">
        <f t="shared" si="0"/>
        <v/>
      </c>
    </row>
    <row r="97" spans="1:18" x14ac:dyDescent="0.2">
      <c r="A97" s="459" t="str">
        <f>IF(Expenditure!A310="Curriculum: Add Cost Centre Description Here","Not in use",Expenditure!A310)</f>
        <v>Not in use</v>
      </c>
      <c r="B97" s="457">
        <f>SUM(Expenditure!I310:I313)</f>
        <v>0</v>
      </c>
      <c r="C97" s="457">
        <f>SUM(Expenditure!J310:J313)</f>
        <v>0</v>
      </c>
      <c r="D97" s="457">
        <f>SUM(Expenditure!K310:K313)</f>
        <v>0</v>
      </c>
      <c r="E97" s="457">
        <f>SUM(Expenditure!L310:L313)</f>
        <v>0</v>
      </c>
      <c r="F97" s="457">
        <f>SUM(Expenditure!M310:M313)</f>
        <v>0</v>
      </c>
      <c r="G97" s="457">
        <f>SUM(Expenditure!N310:N313)</f>
        <v>0</v>
      </c>
      <c r="H97" s="457">
        <f>SUM(Expenditure!O310:O313)</f>
        <v>0</v>
      </c>
      <c r="I97" s="457">
        <f>SUM(Expenditure!P310:P313)</f>
        <v>0</v>
      </c>
      <c r="J97" s="457">
        <f>SUM(Expenditure!Q310:Q313)</f>
        <v>0</v>
      </c>
      <c r="K97" s="457">
        <f>SUM(Expenditure!R310:R313)</f>
        <v>0</v>
      </c>
      <c r="L97" s="457">
        <f>SUM(Expenditure!S310:S313)</f>
        <v>0</v>
      </c>
      <c r="M97" s="457">
        <f>SUM(Expenditure!T310:T313)</f>
        <v>0</v>
      </c>
      <c r="N97" s="458">
        <f>Expenditure!F313</f>
        <v>0</v>
      </c>
      <c r="R97" s="455" t="str">
        <f t="shared" si="0"/>
        <v/>
      </c>
    </row>
    <row r="98" spans="1:18" x14ac:dyDescent="0.2">
      <c r="A98" s="459" t="str">
        <f>IF(Expenditure!A315="Curriculum: Add Cost Centre Description Here","Not in use",Expenditure!A315)</f>
        <v>Not in use</v>
      </c>
      <c r="B98" s="457">
        <f>SUM(Expenditure!I315:I318)</f>
        <v>0</v>
      </c>
      <c r="C98" s="457">
        <f>SUM(Expenditure!J315:J318)</f>
        <v>0</v>
      </c>
      <c r="D98" s="457">
        <f>SUM(Expenditure!K315:K318)</f>
        <v>0</v>
      </c>
      <c r="E98" s="457">
        <f>SUM(Expenditure!L315:L318)</f>
        <v>0</v>
      </c>
      <c r="F98" s="457">
        <f>SUM(Expenditure!M315:M318)</f>
        <v>0</v>
      </c>
      <c r="G98" s="457">
        <f>SUM(Expenditure!N315:N318)</f>
        <v>0</v>
      </c>
      <c r="H98" s="457">
        <f>SUM(Expenditure!O315:O318)</f>
        <v>0</v>
      </c>
      <c r="I98" s="457">
        <f>SUM(Expenditure!P315:P318)</f>
        <v>0</v>
      </c>
      <c r="J98" s="457">
        <f>SUM(Expenditure!Q315:Q318)</f>
        <v>0</v>
      </c>
      <c r="K98" s="457">
        <f>SUM(Expenditure!R315:R318)</f>
        <v>0</v>
      </c>
      <c r="L98" s="457">
        <f>SUM(Expenditure!S315:S318)</f>
        <v>0</v>
      </c>
      <c r="M98" s="457">
        <f>SUM(Expenditure!T315:T318)</f>
        <v>0</v>
      </c>
      <c r="N98" s="458">
        <f>Expenditure!F318</f>
        <v>0</v>
      </c>
      <c r="R98" s="455"/>
    </row>
    <row r="99" spans="1:18" x14ac:dyDescent="0.2">
      <c r="A99" s="459" t="str">
        <f>IF(Expenditure!A320="Curriculum: Add Cost Centre Description Here","Not in use",Expenditure!A320)</f>
        <v>Not in use</v>
      </c>
      <c r="B99" s="457">
        <f>SUM(Expenditure!I320:I323)</f>
        <v>0</v>
      </c>
      <c r="C99" s="457">
        <f>SUM(Expenditure!J320:J323)</f>
        <v>0</v>
      </c>
      <c r="D99" s="457">
        <f>SUM(Expenditure!K320:K323)</f>
        <v>0</v>
      </c>
      <c r="E99" s="457">
        <f>SUM(Expenditure!L320:L323)</f>
        <v>0</v>
      </c>
      <c r="F99" s="457">
        <f>SUM(Expenditure!M320:M323)</f>
        <v>0</v>
      </c>
      <c r="G99" s="457">
        <f>SUM(Expenditure!N320:N323)</f>
        <v>0</v>
      </c>
      <c r="H99" s="457">
        <f>SUM(Expenditure!O320:O323)</f>
        <v>0</v>
      </c>
      <c r="I99" s="457">
        <f>SUM(Expenditure!P320:P323)</f>
        <v>0</v>
      </c>
      <c r="J99" s="457">
        <f>SUM(Expenditure!Q320:Q323)</f>
        <v>0</v>
      </c>
      <c r="K99" s="457">
        <f>SUM(Expenditure!R320:R323)</f>
        <v>0</v>
      </c>
      <c r="L99" s="457">
        <f>SUM(Expenditure!S320:S323)</f>
        <v>0</v>
      </c>
      <c r="M99" s="457">
        <f>SUM(Expenditure!T320:T323)</f>
        <v>0</v>
      </c>
      <c r="N99" s="458">
        <f>Expenditure!F323</f>
        <v>0</v>
      </c>
      <c r="R99" s="455"/>
    </row>
    <row r="100" spans="1:18" x14ac:dyDescent="0.2">
      <c r="A100" s="459" t="str">
        <f>IF(Expenditure!A325="Add Cost Centre Description Here","",Expenditure!A325)</f>
        <v>Staff Transport</v>
      </c>
      <c r="B100" s="457">
        <f>SUM(Expenditure!I325:I328)</f>
        <v>55.666666666666664</v>
      </c>
      <c r="C100" s="457">
        <f>SUM(Expenditure!J325:J328)</f>
        <v>0</v>
      </c>
      <c r="D100" s="457">
        <f>SUM(Expenditure!K325:K328)</f>
        <v>0</v>
      </c>
      <c r="E100" s="457">
        <f>SUM(Expenditure!L325:L328)</f>
        <v>0</v>
      </c>
      <c r="F100" s="457">
        <f>SUM(Expenditure!M325:M328)</f>
        <v>0</v>
      </c>
      <c r="G100" s="457">
        <f>SUM(Expenditure!N325:N328)</f>
        <v>55.666666666666664</v>
      </c>
      <c r="H100" s="457">
        <f>SUM(Expenditure!O325:O328)</f>
        <v>0</v>
      </c>
      <c r="I100" s="457">
        <f>SUM(Expenditure!P325:P328)</f>
        <v>0</v>
      </c>
      <c r="J100" s="457">
        <f>SUM(Expenditure!Q325:Q328)</f>
        <v>0</v>
      </c>
      <c r="K100" s="457">
        <f>SUM(Expenditure!R325:R328)</f>
        <v>55.666666666666664</v>
      </c>
      <c r="L100" s="457">
        <f>SUM(Expenditure!S325:S328)</f>
        <v>0</v>
      </c>
      <c r="M100" s="457">
        <f>SUM(Expenditure!T325:T328)</f>
        <v>0</v>
      </c>
      <c r="N100" s="458">
        <f>Expenditure!F328</f>
        <v>167</v>
      </c>
      <c r="R100" s="455"/>
    </row>
    <row r="101" spans="1:18" x14ac:dyDescent="0.2">
      <c r="A101" s="459" t="str">
        <f>IF(Expenditure!A330="Add Cost Centre Description Here","",Expenditure!A330)</f>
        <v>Pupil Transport</v>
      </c>
      <c r="B101" s="457">
        <f>SUM(Expenditure!I330:I333)</f>
        <v>0</v>
      </c>
      <c r="C101" s="457">
        <f>SUM(Expenditure!J330:J333)</f>
        <v>0</v>
      </c>
      <c r="D101" s="457">
        <f>SUM(Expenditure!K330:K333)</f>
        <v>0</v>
      </c>
      <c r="E101" s="457">
        <f>SUM(Expenditure!L330:L333)</f>
        <v>0</v>
      </c>
      <c r="F101" s="457">
        <f>SUM(Expenditure!M330:M333)</f>
        <v>0</v>
      </c>
      <c r="G101" s="457">
        <f>SUM(Expenditure!N330:N333)</f>
        <v>0</v>
      </c>
      <c r="H101" s="457">
        <f>SUM(Expenditure!O330:O333)</f>
        <v>0</v>
      </c>
      <c r="I101" s="457">
        <f>SUM(Expenditure!P330:P333)</f>
        <v>0</v>
      </c>
      <c r="J101" s="457">
        <f>SUM(Expenditure!Q330:Q333)</f>
        <v>0</v>
      </c>
      <c r="K101" s="457">
        <f>SUM(Expenditure!R330:R333)</f>
        <v>0</v>
      </c>
      <c r="L101" s="457">
        <f>SUM(Expenditure!S330:S333)</f>
        <v>0</v>
      </c>
      <c r="M101" s="457">
        <f>SUM(Expenditure!T330:T333)</f>
        <v>0</v>
      </c>
      <c r="N101" s="458">
        <f>Expenditure!F333</f>
        <v>0</v>
      </c>
      <c r="R101" s="455" t="str">
        <f t="shared" si="0"/>
        <v/>
      </c>
    </row>
    <row r="102" spans="1:18" x14ac:dyDescent="0.2">
      <c r="A102" s="459" t="str">
        <f>IF(Expenditure!A335="Transport: Add Cost Centre Description Here","Not in use",Expenditure!A335)</f>
        <v>Not in use</v>
      </c>
      <c r="B102" s="457">
        <f>SUM(Expenditure!I335:I338)</f>
        <v>0</v>
      </c>
      <c r="C102" s="457">
        <f>SUM(Expenditure!J335:J338)</f>
        <v>0</v>
      </c>
      <c r="D102" s="457">
        <f>SUM(Expenditure!K335:K338)</f>
        <v>0</v>
      </c>
      <c r="E102" s="457">
        <f>SUM(Expenditure!L335:L338)</f>
        <v>0</v>
      </c>
      <c r="F102" s="457">
        <f>SUM(Expenditure!M335:M338)</f>
        <v>0</v>
      </c>
      <c r="G102" s="457">
        <f>SUM(Expenditure!N335:N338)</f>
        <v>0</v>
      </c>
      <c r="H102" s="457">
        <f>SUM(Expenditure!O335:O338)</f>
        <v>0</v>
      </c>
      <c r="I102" s="457">
        <f>SUM(Expenditure!P335:P338)</f>
        <v>0</v>
      </c>
      <c r="J102" s="457">
        <f>SUM(Expenditure!Q335:Q338)</f>
        <v>0</v>
      </c>
      <c r="K102" s="457">
        <f>SUM(Expenditure!R335:R338)</f>
        <v>0</v>
      </c>
      <c r="L102" s="457">
        <f>SUM(Expenditure!S335:S338)</f>
        <v>0</v>
      </c>
      <c r="M102" s="457">
        <f>SUM(Expenditure!T335:T338)</f>
        <v>0</v>
      </c>
      <c r="N102" s="458">
        <f>Expenditure!F338</f>
        <v>0</v>
      </c>
      <c r="R102" s="455" t="str">
        <f t="shared" si="0"/>
        <v/>
      </c>
    </row>
    <row r="103" spans="1:18" x14ac:dyDescent="0.2">
      <c r="A103" s="459" t="str">
        <f>IF(Expenditure!A340="Transport: Add Cost Centre Description Here","Not in use",Expenditure!A340)</f>
        <v>Not in use</v>
      </c>
      <c r="B103" s="457">
        <f>SUM(Expenditure!I340:I343)</f>
        <v>0</v>
      </c>
      <c r="C103" s="457">
        <f>SUM(Expenditure!J340:J343)</f>
        <v>0</v>
      </c>
      <c r="D103" s="457">
        <f>SUM(Expenditure!K340:K343)</f>
        <v>0</v>
      </c>
      <c r="E103" s="457">
        <f>SUM(Expenditure!L340:L343)</f>
        <v>0</v>
      </c>
      <c r="F103" s="457">
        <f>SUM(Expenditure!M340:M343)</f>
        <v>0</v>
      </c>
      <c r="G103" s="457">
        <f>SUM(Expenditure!N340:N343)</f>
        <v>0</v>
      </c>
      <c r="H103" s="457">
        <f>SUM(Expenditure!O340:O343)</f>
        <v>0</v>
      </c>
      <c r="I103" s="457">
        <f>SUM(Expenditure!P340:P343)</f>
        <v>0</v>
      </c>
      <c r="J103" s="457">
        <f>SUM(Expenditure!Q340:Q343)</f>
        <v>0</v>
      </c>
      <c r="K103" s="457">
        <f>SUM(Expenditure!R340:R343)</f>
        <v>0</v>
      </c>
      <c r="L103" s="457">
        <f>SUM(Expenditure!S340:S343)</f>
        <v>0</v>
      </c>
      <c r="M103" s="457">
        <f>SUM(Expenditure!T340:T343)</f>
        <v>0</v>
      </c>
      <c r="N103" s="458">
        <f>Expenditure!F343</f>
        <v>0</v>
      </c>
      <c r="R103" s="455" t="str">
        <f t="shared" si="0"/>
        <v/>
      </c>
    </row>
    <row r="104" spans="1:18" x14ac:dyDescent="0.2">
      <c r="A104" s="459" t="str">
        <f>IF(Expenditure!A345="Add Cost Centre Description Here","",Expenditure!A345)</f>
        <v>Office Expenses</v>
      </c>
      <c r="B104" s="457">
        <f>SUM(Expenditure!I345:I361)</f>
        <v>447.33333333333331</v>
      </c>
      <c r="C104" s="457">
        <f>SUM(Expenditure!J345:J361)</f>
        <v>0</v>
      </c>
      <c r="D104" s="457">
        <f>SUM(Expenditure!K345:K361)</f>
        <v>0</v>
      </c>
      <c r="E104" s="457">
        <f>SUM(Expenditure!L345:L361)</f>
        <v>17</v>
      </c>
      <c r="F104" s="457">
        <f>SUM(Expenditure!M345:M361)</f>
        <v>0</v>
      </c>
      <c r="G104" s="457">
        <f>SUM(Expenditure!N345:N361)</f>
        <v>183.33333333333331</v>
      </c>
      <c r="H104" s="457">
        <f>SUM(Expenditure!O345:O361)</f>
        <v>17</v>
      </c>
      <c r="I104" s="457">
        <f>SUM(Expenditure!P345:P361)</f>
        <v>0</v>
      </c>
      <c r="J104" s="457">
        <f>SUM(Expenditure!Q345:Q361)</f>
        <v>0</v>
      </c>
      <c r="K104" s="457">
        <f>SUM(Expenditure!R345:R361)</f>
        <v>200.33333333333331</v>
      </c>
      <c r="L104" s="457">
        <f>SUM(Expenditure!S345:S361)</f>
        <v>0</v>
      </c>
      <c r="M104" s="457">
        <f>SUM(Expenditure!T345:T361)</f>
        <v>0</v>
      </c>
      <c r="N104" s="458">
        <f>Expenditure!F361</f>
        <v>865</v>
      </c>
      <c r="R104" s="455" t="str">
        <f t="shared" si="0"/>
        <v/>
      </c>
    </row>
    <row r="105" spans="1:18" x14ac:dyDescent="0.2">
      <c r="A105" s="459" t="str">
        <f>IF(Expenditure!A363="Add Cost Centre Description Here","",Expenditure!A363)</f>
        <v>Telephones</v>
      </c>
      <c r="B105" s="457">
        <f>SUM(Expenditure!I363:I366)</f>
        <v>103.83333333333333</v>
      </c>
      <c r="C105" s="457">
        <f>SUM(Expenditure!J363:J366)</f>
        <v>103.83333333333333</v>
      </c>
      <c r="D105" s="457">
        <f>SUM(Expenditure!K363:K366)</f>
        <v>103.83333333333333</v>
      </c>
      <c r="E105" s="457">
        <f>SUM(Expenditure!L363:L366)</f>
        <v>103.83333333333333</v>
      </c>
      <c r="F105" s="457">
        <f>SUM(Expenditure!M363:M366)</f>
        <v>103.83333333333333</v>
      </c>
      <c r="G105" s="457">
        <f>SUM(Expenditure!N363:N366)</f>
        <v>103.83333333333333</v>
      </c>
      <c r="H105" s="457">
        <f>SUM(Expenditure!O363:O366)</f>
        <v>103.83333333333333</v>
      </c>
      <c r="I105" s="457">
        <f>SUM(Expenditure!P363:P366)</f>
        <v>103.83333333333333</v>
      </c>
      <c r="J105" s="457">
        <f>SUM(Expenditure!Q363:Q366)</f>
        <v>103.83333333333333</v>
      </c>
      <c r="K105" s="457">
        <f>SUM(Expenditure!R363:R366)</f>
        <v>103.83333333333333</v>
      </c>
      <c r="L105" s="457">
        <f>SUM(Expenditure!S363:S366)</f>
        <v>103.83333333333333</v>
      </c>
      <c r="M105" s="457">
        <f>SUM(Expenditure!T363:T366)</f>
        <v>103.83333333333333</v>
      </c>
      <c r="N105" s="458">
        <f>Expenditure!F366</f>
        <v>1246</v>
      </c>
      <c r="R105" s="455" t="str">
        <f t="shared" si="0"/>
        <v/>
      </c>
    </row>
    <row r="106" spans="1:18" x14ac:dyDescent="0.2">
      <c r="A106" s="459" t="str">
        <f>IF(Expenditure!A368="Add Cost Centre Description Here","",Expenditure!A368)</f>
        <v>Reprographics</v>
      </c>
      <c r="B106" s="457">
        <f>SUM(Expenditure!I368:I372)</f>
        <v>652.08333333333337</v>
      </c>
      <c r="C106" s="457">
        <f>SUM(Expenditure!J368:J372)</f>
        <v>0</v>
      </c>
      <c r="D106" s="457">
        <f>SUM(Expenditure!K368:K372)</f>
        <v>0</v>
      </c>
      <c r="E106" s="457">
        <f>SUM(Expenditure!L368:L372)</f>
        <v>468.75</v>
      </c>
      <c r="F106" s="457">
        <f>SUM(Expenditure!M368:M372)</f>
        <v>0</v>
      </c>
      <c r="G106" s="457">
        <f>SUM(Expenditure!N368:N372)</f>
        <v>183.33333333333334</v>
      </c>
      <c r="H106" s="457">
        <f>SUM(Expenditure!O368:O372)</f>
        <v>468.75</v>
      </c>
      <c r="I106" s="457">
        <f>SUM(Expenditure!P368:P372)</f>
        <v>0</v>
      </c>
      <c r="J106" s="457">
        <f>SUM(Expenditure!Q368:Q372)</f>
        <v>0</v>
      </c>
      <c r="K106" s="457">
        <f>SUM(Expenditure!R368:R372)</f>
        <v>652.08333333333337</v>
      </c>
      <c r="L106" s="457">
        <f>SUM(Expenditure!S368:S372)</f>
        <v>0</v>
      </c>
      <c r="M106" s="457">
        <f>SUM(Expenditure!T368:T372)</f>
        <v>0</v>
      </c>
      <c r="N106" s="458">
        <f>Expenditure!F372</f>
        <v>2425</v>
      </c>
      <c r="R106" s="455" t="str">
        <f t="shared" si="0"/>
        <v/>
      </c>
    </row>
    <row r="107" spans="1:18" x14ac:dyDescent="0.2">
      <c r="A107" s="459" t="str">
        <f>IF(Expenditure!A374="Administration: Add Cost Centre Description Here","Not in use",Expenditure!A374)</f>
        <v>Not in use</v>
      </c>
      <c r="B107" s="457">
        <f>SUM(Expenditure!I374:I377)</f>
        <v>0</v>
      </c>
      <c r="C107" s="457">
        <f>SUM(Expenditure!J374:J377)</f>
        <v>0</v>
      </c>
      <c r="D107" s="457">
        <f>SUM(Expenditure!K374:K377)</f>
        <v>0</v>
      </c>
      <c r="E107" s="457">
        <f>SUM(Expenditure!L374:L377)</f>
        <v>0</v>
      </c>
      <c r="F107" s="457">
        <f>SUM(Expenditure!M374:M377)</f>
        <v>0</v>
      </c>
      <c r="G107" s="457">
        <f>SUM(Expenditure!N374:N377)</f>
        <v>0</v>
      </c>
      <c r="H107" s="457">
        <f>SUM(Expenditure!O374:O377)</f>
        <v>0</v>
      </c>
      <c r="I107" s="457">
        <f>SUM(Expenditure!P374:P377)</f>
        <v>0</v>
      </c>
      <c r="J107" s="457">
        <f>SUM(Expenditure!Q374:Q377)</f>
        <v>0</v>
      </c>
      <c r="K107" s="457">
        <f>SUM(Expenditure!R374:R377)</f>
        <v>0</v>
      </c>
      <c r="L107" s="457">
        <f>SUM(Expenditure!S374:S377)</f>
        <v>0</v>
      </c>
      <c r="M107" s="457">
        <f>SUM(Expenditure!T374:T377)</f>
        <v>0</v>
      </c>
      <c r="N107" s="458">
        <f>Expenditure!F377</f>
        <v>0</v>
      </c>
      <c r="R107" s="455" t="str">
        <f t="shared" si="0"/>
        <v/>
      </c>
    </row>
    <row r="108" spans="1:18" x14ac:dyDescent="0.2">
      <c r="A108" s="459" t="str">
        <f>IF(Expenditure!A379="Administration: Add Cost Centre Description Here","Not in use",Expenditure!A379)</f>
        <v>Not in use</v>
      </c>
      <c r="B108" s="457">
        <f>SUM(Expenditure!I379:I382)</f>
        <v>0</v>
      </c>
      <c r="C108" s="457">
        <f>SUM(Expenditure!J379:J382)</f>
        <v>0</v>
      </c>
      <c r="D108" s="457">
        <f>SUM(Expenditure!K379:K382)</f>
        <v>0</v>
      </c>
      <c r="E108" s="457">
        <f>SUM(Expenditure!L379:L382)</f>
        <v>0</v>
      </c>
      <c r="F108" s="457">
        <f>SUM(Expenditure!M379:M382)</f>
        <v>0</v>
      </c>
      <c r="G108" s="457">
        <f>SUM(Expenditure!N379:N382)</f>
        <v>0</v>
      </c>
      <c r="H108" s="457">
        <f>SUM(Expenditure!O379:O382)</f>
        <v>0</v>
      </c>
      <c r="I108" s="457">
        <f>SUM(Expenditure!P379:P382)</f>
        <v>0</v>
      </c>
      <c r="J108" s="457">
        <f>SUM(Expenditure!Q379:Q382)</f>
        <v>0</v>
      </c>
      <c r="K108" s="457">
        <f>SUM(Expenditure!R379:R382)</f>
        <v>0</v>
      </c>
      <c r="L108" s="457">
        <f>SUM(Expenditure!S379:S382)</f>
        <v>0</v>
      </c>
      <c r="M108" s="457">
        <f>SUM(Expenditure!T379:T382)</f>
        <v>0</v>
      </c>
      <c r="N108" s="458">
        <f>Expenditure!F382</f>
        <v>0</v>
      </c>
      <c r="R108" s="455" t="str">
        <f t="shared" si="0"/>
        <v/>
      </c>
    </row>
    <row r="109" spans="1:18" x14ac:dyDescent="0.2">
      <c r="A109" s="459" t="str">
        <f>IF(Expenditure!A384="Administration: Add Cost Centre Description Here","Not in use",Expenditure!A384)</f>
        <v>Not in use</v>
      </c>
      <c r="B109" s="457">
        <f>SUM(Expenditure!I384:I387)</f>
        <v>0</v>
      </c>
      <c r="C109" s="457">
        <f>SUM(Expenditure!J384:J387)</f>
        <v>0</v>
      </c>
      <c r="D109" s="457">
        <f>SUM(Expenditure!K384:K387)</f>
        <v>0</v>
      </c>
      <c r="E109" s="457">
        <f>SUM(Expenditure!L384:L387)</f>
        <v>0</v>
      </c>
      <c r="F109" s="457">
        <f>SUM(Expenditure!M384:M387)</f>
        <v>0</v>
      </c>
      <c r="G109" s="457">
        <f>SUM(Expenditure!N384:N387)</f>
        <v>0</v>
      </c>
      <c r="H109" s="457">
        <f>SUM(Expenditure!O384:O387)</f>
        <v>0</v>
      </c>
      <c r="I109" s="457">
        <f>SUM(Expenditure!P384:P387)</f>
        <v>0</v>
      </c>
      <c r="J109" s="457">
        <f>SUM(Expenditure!Q384:Q387)</f>
        <v>0</v>
      </c>
      <c r="K109" s="457">
        <f>SUM(Expenditure!R384:R387)</f>
        <v>0</v>
      </c>
      <c r="L109" s="457">
        <f>SUM(Expenditure!S384:S387)</f>
        <v>0</v>
      </c>
      <c r="M109" s="457">
        <f>SUM(Expenditure!T384:T387)</f>
        <v>0</v>
      </c>
      <c r="N109" s="458">
        <f>Expenditure!F387</f>
        <v>0</v>
      </c>
      <c r="R109" s="455" t="str">
        <f t="shared" si="0"/>
        <v/>
      </c>
    </row>
    <row r="110" spans="1:18" x14ac:dyDescent="0.2">
      <c r="A110" s="459" t="str">
        <f>IF(Expenditure!A389="Administration: Add Cost Centre Description Here","Not in use",Expenditure!A389)</f>
        <v>Not in use</v>
      </c>
      <c r="B110" s="457">
        <f>SUM(Expenditure!I389:I392)</f>
        <v>0</v>
      </c>
      <c r="C110" s="457">
        <f>SUM(Expenditure!J389:J392)</f>
        <v>0</v>
      </c>
      <c r="D110" s="457">
        <f>SUM(Expenditure!K389:K392)</f>
        <v>0</v>
      </c>
      <c r="E110" s="457">
        <f>SUM(Expenditure!L389:L392)</f>
        <v>0</v>
      </c>
      <c r="F110" s="457">
        <f>SUM(Expenditure!M389:M392)</f>
        <v>0</v>
      </c>
      <c r="G110" s="457">
        <f>SUM(Expenditure!N389:N392)</f>
        <v>0</v>
      </c>
      <c r="H110" s="457">
        <f>SUM(Expenditure!O389:O392)</f>
        <v>0</v>
      </c>
      <c r="I110" s="457">
        <f>SUM(Expenditure!P389:P392)</f>
        <v>0</v>
      </c>
      <c r="J110" s="457">
        <f>SUM(Expenditure!Q389:Q392)</f>
        <v>0</v>
      </c>
      <c r="K110" s="457">
        <f>SUM(Expenditure!R389:R392)</f>
        <v>0</v>
      </c>
      <c r="L110" s="457">
        <f>SUM(Expenditure!S389:S392)</f>
        <v>0</v>
      </c>
      <c r="M110" s="457">
        <f>SUM(Expenditure!T389:T392)</f>
        <v>0</v>
      </c>
      <c r="N110" s="458">
        <f>Expenditure!F392</f>
        <v>0</v>
      </c>
      <c r="R110" s="455"/>
    </row>
    <row r="111" spans="1:18" x14ac:dyDescent="0.2">
      <c r="A111" s="459" t="str">
        <f>IF(Expenditure!A394="Administration: Add Cost Centre Description Here","Not in use",Expenditure!A394)</f>
        <v>Not in use</v>
      </c>
      <c r="B111" s="457">
        <f>SUM(Expenditure!I394:I397)</f>
        <v>0</v>
      </c>
      <c r="C111" s="457">
        <f>SUM(Expenditure!J394:J397)</f>
        <v>0</v>
      </c>
      <c r="D111" s="457">
        <f>SUM(Expenditure!K394:K397)</f>
        <v>0</v>
      </c>
      <c r="E111" s="457">
        <f>SUM(Expenditure!L394:L397)</f>
        <v>0</v>
      </c>
      <c r="F111" s="457">
        <f>SUM(Expenditure!M394:M397)</f>
        <v>0</v>
      </c>
      <c r="G111" s="457">
        <f>SUM(Expenditure!N394:N397)</f>
        <v>0</v>
      </c>
      <c r="H111" s="457">
        <f>SUM(Expenditure!O394:O397)</f>
        <v>0</v>
      </c>
      <c r="I111" s="457">
        <f>SUM(Expenditure!P394:P397)</f>
        <v>0</v>
      </c>
      <c r="J111" s="457">
        <f>SUM(Expenditure!Q394:Q397)</f>
        <v>0</v>
      </c>
      <c r="K111" s="457">
        <f>SUM(Expenditure!R394:R397)</f>
        <v>0</v>
      </c>
      <c r="L111" s="457">
        <f>SUM(Expenditure!S394:S397)</f>
        <v>0</v>
      </c>
      <c r="M111" s="457">
        <f>SUM(Expenditure!T394:T397)</f>
        <v>0</v>
      </c>
      <c r="N111" s="458">
        <f>Expenditure!F397</f>
        <v>0</v>
      </c>
      <c r="R111" s="455"/>
    </row>
    <row r="112" spans="1:18" x14ac:dyDescent="0.2">
      <c r="A112" s="459" t="str">
        <f>IF(Expenditure!A399="Administration: Add Cost Centre Description Here","Not in use",Expenditure!A399)</f>
        <v>Not in use</v>
      </c>
      <c r="B112" s="457">
        <f>SUM(Expenditure!I399:I402)</f>
        <v>0</v>
      </c>
      <c r="C112" s="457">
        <f>SUM(Expenditure!J399:J402)</f>
        <v>0</v>
      </c>
      <c r="D112" s="457">
        <f>SUM(Expenditure!K399:K402)</f>
        <v>0</v>
      </c>
      <c r="E112" s="457">
        <f>SUM(Expenditure!L399:L402)</f>
        <v>0</v>
      </c>
      <c r="F112" s="457">
        <f>SUM(Expenditure!M399:M402)</f>
        <v>0</v>
      </c>
      <c r="G112" s="457">
        <f>SUM(Expenditure!N399:N402)</f>
        <v>0</v>
      </c>
      <c r="H112" s="457">
        <f>SUM(Expenditure!O399:O402)</f>
        <v>0</v>
      </c>
      <c r="I112" s="457">
        <f>SUM(Expenditure!P399:P402)</f>
        <v>0</v>
      </c>
      <c r="J112" s="457">
        <f>SUM(Expenditure!Q399:Q402)</f>
        <v>0</v>
      </c>
      <c r="K112" s="457">
        <f>SUM(Expenditure!R399:R402)</f>
        <v>0</v>
      </c>
      <c r="L112" s="457">
        <f>SUM(Expenditure!S399:S402)</f>
        <v>0</v>
      </c>
      <c r="M112" s="457">
        <f>SUM(Expenditure!T399:T402)</f>
        <v>0</v>
      </c>
      <c r="N112" s="458">
        <f>Expenditure!F402</f>
        <v>0</v>
      </c>
      <c r="R112" s="455"/>
    </row>
    <row r="113" spans="1:18" x14ac:dyDescent="0.2">
      <c r="A113" s="459" t="str">
        <f>IF(Expenditure!A404="Add Cost Centre Description Here","",Expenditure!A404)</f>
        <v>Professional Fees Exp.</v>
      </c>
      <c r="B113" s="457">
        <f>SUM(Expenditure!I404:I423)</f>
        <v>1967.5833333333333</v>
      </c>
      <c r="C113" s="457">
        <f>SUM(Expenditure!J404:J423)</f>
        <v>1967.5833333333333</v>
      </c>
      <c r="D113" s="457">
        <f>SUM(Expenditure!K404:K423)</f>
        <v>1967.5833333333333</v>
      </c>
      <c r="E113" s="457">
        <f>SUM(Expenditure!L404:L423)</f>
        <v>1967.5833333333333</v>
      </c>
      <c r="F113" s="457">
        <f>SUM(Expenditure!M404:M423)</f>
        <v>1967.5833333333333</v>
      </c>
      <c r="G113" s="457">
        <f>SUM(Expenditure!N404:N423)</f>
        <v>1967.5833333333333</v>
      </c>
      <c r="H113" s="457">
        <f>SUM(Expenditure!O404:O423)</f>
        <v>1967.5833333333333</v>
      </c>
      <c r="I113" s="457">
        <f>SUM(Expenditure!P404:P423)</f>
        <v>1967.5833333333333</v>
      </c>
      <c r="J113" s="457">
        <f>SUM(Expenditure!Q404:Q423)</f>
        <v>1967.5833333333333</v>
      </c>
      <c r="K113" s="457">
        <f>SUM(Expenditure!R404:R423)</f>
        <v>1967.5833333333333</v>
      </c>
      <c r="L113" s="457">
        <f>SUM(Expenditure!S404:S423)</f>
        <v>1967.5833333333333</v>
      </c>
      <c r="M113" s="457">
        <f>SUM(Expenditure!T404:T423)</f>
        <v>1967.5833333333333</v>
      </c>
      <c r="N113" s="458">
        <f>Expenditure!F423</f>
        <v>23611</v>
      </c>
      <c r="R113" s="455" t="str">
        <f t="shared" si="0"/>
        <v/>
      </c>
    </row>
    <row r="114" spans="1:18" x14ac:dyDescent="0.2">
      <c r="A114" s="459" t="str">
        <f>IF(Expenditure!A425="Add Cost Centre Description Here","",Expenditure!A425)</f>
        <v>Other Ins Prem.</v>
      </c>
      <c r="B114" s="457">
        <f>SUM(Expenditure!I425:I427)</f>
        <v>0</v>
      </c>
      <c r="C114" s="457">
        <f>SUM(Expenditure!J425:J427)</f>
        <v>0</v>
      </c>
      <c r="D114" s="457">
        <f>SUM(Expenditure!K425:K427)</f>
        <v>0</v>
      </c>
      <c r="E114" s="457">
        <f>SUM(Expenditure!L425:L427)</f>
        <v>0</v>
      </c>
      <c r="F114" s="457">
        <f>SUM(Expenditure!M425:M427)</f>
        <v>2827</v>
      </c>
      <c r="G114" s="457">
        <f>SUM(Expenditure!N425:N427)</f>
        <v>0</v>
      </c>
      <c r="H114" s="457">
        <f>SUM(Expenditure!O425:O427)</f>
        <v>0</v>
      </c>
      <c r="I114" s="457">
        <f>SUM(Expenditure!P425:P427)</f>
        <v>0</v>
      </c>
      <c r="J114" s="457">
        <f>SUM(Expenditure!Q425:Q427)</f>
        <v>0</v>
      </c>
      <c r="K114" s="457">
        <f>SUM(Expenditure!R425:R427)</f>
        <v>0</v>
      </c>
      <c r="L114" s="457">
        <f>SUM(Expenditure!S425:S427)</f>
        <v>0</v>
      </c>
      <c r="M114" s="457">
        <f>SUM(Expenditure!T425:T427)</f>
        <v>0</v>
      </c>
      <c r="N114" s="458">
        <f>Expenditure!F427</f>
        <v>2827</v>
      </c>
      <c r="R114" s="455" t="str">
        <f t="shared" si="0"/>
        <v/>
      </c>
    </row>
    <row r="115" spans="1:18" x14ac:dyDescent="0.2">
      <c r="A115" s="459" t="str">
        <f>IF(Expenditure!A429="Add Cost Centre Description Here","",Expenditure!A429)</f>
        <v>Govs Expenses</v>
      </c>
      <c r="B115" s="457">
        <f>SUM(Expenditure!I429)</f>
        <v>33.333333333333336</v>
      </c>
      <c r="C115" s="457">
        <f>SUM(Expenditure!J429)</f>
        <v>0</v>
      </c>
      <c r="D115" s="457">
        <f>SUM(Expenditure!K429)</f>
        <v>0</v>
      </c>
      <c r="E115" s="457">
        <f>SUM(Expenditure!L429)</f>
        <v>0</v>
      </c>
      <c r="F115" s="457">
        <f>SUM(Expenditure!M429)</f>
        <v>0</v>
      </c>
      <c r="G115" s="457">
        <f>SUM(Expenditure!N429)</f>
        <v>33.333333333333336</v>
      </c>
      <c r="H115" s="457">
        <f>SUM(Expenditure!O429)</f>
        <v>0</v>
      </c>
      <c r="I115" s="457">
        <f>SUM(Expenditure!P429)</f>
        <v>0</v>
      </c>
      <c r="J115" s="457">
        <f>SUM(Expenditure!Q429)</f>
        <v>0</v>
      </c>
      <c r="K115" s="457">
        <f>SUM(Expenditure!R429)</f>
        <v>33.333333333333336</v>
      </c>
      <c r="L115" s="457">
        <f>SUM(Expenditure!S429)</f>
        <v>0</v>
      </c>
      <c r="M115" s="457">
        <f>SUM(Expenditure!T429)</f>
        <v>0</v>
      </c>
      <c r="N115" s="458">
        <f>Expenditure!F429</f>
        <v>100</v>
      </c>
      <c r="R115" s="455" t="str">
        <f t="shared" si="0"/>
        <v/>
      </c>
    </row>
    <row r="116" spans="1:18" x14ac:dyDescent="0.2">
      <c r="A116" s="459" t="str">
        <f>IF(Expenditure!A431="Add Cost Centre Description Here","",Expenditure!A431)</f>
        <v>Pupil Support</v>
      </c>
      <c r="B116" s="457">
        <f>SUM(Expenditure!I431:I436)</f>
        <v>0</v>
      </c>
      <c r="C116" s="457">
        <f>SUM(Expenditure!J431:J436)</f>
        <v>0</v>
      </c>
      <c r="D116" s="457">
        <f>SUM(Expenditure!K431:K436)</f>
        <v>0</v>
      </c>
      <c r="E116" s="457">
        <f>SUM(Expenditure!L431:L436)</f>
        <v>0</v>
      </c>
      <c r="F116" s="457">
        <f>SUM(Expenditure!M431:M436)</f>
        <v>0</v>
      </c>
      <c r="G116" s="457">
        <f>SUM(Expenditure!N431:N436)</f>
        <v>0</v>
      </c>
      <c r="H116" s="457">
        <f>SUM(Expenditure!O431:O436)</f>
        <v>0</v>
      </c>
      <c r="I116" s="457">
        <f>SUM(Expenditure!P431:P436)</f>
        <v>0</v>
      </c>
      <c r="J116" s="457">
        <f>SUM(Expenditure!Q431:Q436)</f>
        <v>0</v>
      </c>
      <c r="K116" s="457">
        <f>SUM(Expenditure!R431:R436)</f>
        <v>0</v>
      </c>
      <c r="L116" s="457">
        <f>SUM(Expenditure!S431:S436)</f>
        <v>2973</v>
      </c>
      <c r="M116" s="457">
        <f>SUM(Expenditure!T431:T436)</f>
        <v>0</v>
      </c>
      <c r="N116" s="458">
        <f>Expenditure!F436</f>
        <v>2973</v>
      </c>
      <c r="R116" s="455" t="str">
        <f t="shared" si="0"/>
        <v/>
      </c>
    </row>
    <row r="117" spans="1:18" x14ac:dyDescent="0.2">
      <c r="A117" s="459" t="str">
        <f>IF(Expenditure!A438="Add Cost Centre Description Here","",Expenditure!A438)</f>
        <v>Music Expenditure</v>
      </c>
      <c r="B117" s="457">
        <f>SUM(Expenditure!I438:I439)</f>
        <v>0</v>
      </c>
      <c r="C117" s="457">
        <f>SUM(Expenditure!J438:J439)</f>
        <v>0</v>
      </c>
      <c r="D117" s="457">
        <f>SUM(Expenditure!K438:K439)</f>
        <v>0</v>
      </c>
      <c r="E117" s="457">
        <f>SUM(Expenditure!L438:L439)</f>
        <v>0</v>
      </c>
      <c r="F117" s="457">
        <f>SUM(Expenditure!M438:M439)</f>
        <v>0</v>
      </c>
      <c r="G117" s="457">
        <f>SUM(Expenditure!N438:N439)</f>
        <v>0</v>
      </c>
      <c r="H117" s="457">
        <f>SUM(Expenditure!O438:O439)</f>
        <v>0</v>
      </c>
      <c r="I117" s="457">
        <f>SUM(Expenditure!P438:P439)</f>
        <v>0</v>
      </c>
      <c r="J117" s="457">
        <f>SUM(Expenditure!Q438:Q439)</f>
        <v>0</v>
      </c>
      <c r="K117" s="457">
        <f>SUM(Expenditure!R438:R439)</f>
        <v>0</v>
      </c>
      <c r="L117" s="457">
        <f>SUM(Expenditure!S438:S439)</f>
        <v>0</v>
      </c>
      <c r="M117" s="457">
        <f>SUM(Expenditure!T438:T439)</f>
        <v>0</v>
      </c>
      <c r="N117" s="458">
        <f>Expenditure!F439</f>
        <v>0</v>
      </c>
      <c r="R117" s="455" t="str">
        <f t="shared" ref="R117:R138" si="2">IF(O117="Check: Calculation Error",1,"")</f>
        <v/>
      </c>
    </row>
    <row r="118" spans="1:18" x14ac:dyDescent="0.2">
      <c r="A118" s="459" t="str">
        <f>IF(Expenditure!A441="Add Cost Centre Description Here","",Expenditure!A441)</f>
        <v>Catering</v>
      </c>
      <c r="B118" s="457">
        <f>SUM(Expenditure!I441:I450)</f>
        <v>780.25757575757575</v>
      </c>
      <c r="C118" s="457">
        <f>SUM(Expenditure!J441:J450)</f>
        <v>651.09090909090901</v>
      </c>
      <c r="D118" s="457">
        <f>SUM(Expenditure!K441:K450)</f>
        <v>651.09090909090901</v>
      </c>
      <c r="E118" s="457">
        <f>SUM(Expenditure!L441:L450)</f>
        <v>713.59090909090901</v>
      </c>
      <c r="F118" s="457">
        <f>SUM(Expenditure!M441:M450)</f>
        <v>0</v>
      </c>
      <c r="G118" s="457">
        <f>SUM(Expenditure!N441:N450)</f>
        <v>717.75757575757575</v>
      </c>
      <c r="H118" s="457">
        <f>SUM(Expenditure!O441:O450)</f>
        <v>713.59090909090901</v>
      </c>
      <c r="I118" s="457">
        <f>SUM(Expenditure!P441:P450)</f>
        <v>651.09090909090901</v>
      </c>
      <c r="J118" s="457">
        <f>SUM(Expenditure!Q441:Q450)</f>
        <v>651.09090909090901</v>
      </c>
      <c r="K118" s="457">
        <f>SUM(Expenditure!R441:R450)</f>
        <v>780.25757575757575</v>
      </c>
      <c r="L118" s="457">
        <f>SUM(Expenditure!S441:S450)</f>
        <v>651.09090909090901</v>
      </c>
      <c r="M118" s="457">
        <f>SUM(Expenditure!T441:T450)</f>
        <v>651.09090909090901</v>
      </c>
      <c r="N118" s="458">
        <f>Expenditure!F450</f>
        <v>7612</v>
      </c>
      <c r="R118" s="455" t="str">
        <f t="shared" si="2"/>
        <v/>
      </c>
    </row>
    <row r="119" spans="1:18" x14ac:dyDescent="0.2">
      <c r="A119" s="686" t="str">
        <f>IF(Expenditure!A452="Add Cost Centre Description Here","",Expenditure!A452)</f>
        <v>De-delegated Funds (excl. ESG)</v>
      </c>
      <c r="B119" s="687"/>
      <c r="C119" s="687"/>
      <c r="D119" s="687"/>
      <c r="E119" s="687"/>
      <c r="F119" s="687"/>
      <c r="G119" s="687"/>
      <c r="H119" s="687"/>
      <c r="I119" s="687"/>
      <c r="J119" s="687"/>
      <c r="K119" s="687"/>
      <c r="L119" s="687"/>
      <c r="M119" s="687"/>
      <c r="N119" s="688"/>
      <c r="R119" s="455" t="str">
        <f t="shared" si="2"/>
        <v/>
      </c>
    </row>
    <row r="120" spans="1:18" x14ac:dyDescent="0.2">
      <c r="A120" s="459" t="str">
        <f>IF(Expenditure!A457="Add Cost Centre Description Here","Not in use",Expenditure!A457)</f>
        <v>Pupil Premium</v>
      </c>
      <c r="B120" s="457">
        <f>SUM(Expenditure!I457:I460)</f>
        <v>978.18181818181813</v>
      </c>
      <c r="C120" s="457">
        <f>SUM(Expenditure!J457:J460)</f>
        <v>978.18181818181813</v>
      </c>
      <c r="D120" s="457">
        <f>SUM(Expenditure!K457:K460)</f>
        <v>978.18181818181813</v>
      </c>
      <c r="E120" s="457">
        <f>SUM(Expenditure!L457:L460)</f>
        <v>978.18181818181813</v>
      </c>
      <c r="F120" s="457">
        <f>SUM(Expenditure!M457:M460)</f>
        <v>0</v>
      </c>
      <c r="G120" s="457">
        <f>SUM(Expenditure!N457:N460)</f>
        <v>978.18181818181813</v>
      </c>
      <c r="H120" s="457">
        <f>SUM(Expenditure!O457:O460)</f>
        <v>978.18181818181813</v>
      </c>
      <c r="I120" s="457">
        <f>SUM(Expenditure!P457:P460)</f>
        <v>978.18181818181813</v>
      </c>
      <c r="J120" s="457">
        <f>SUM(Expenditure!Q457:Q460)</f>
        <v>978.18181818181813</v>
      </c>
      <c r="K120" s="457">
        <f>SUM(Expenditure!R457:R460)</f>
        <v>978.18181818181813</v>
      </c>
      <c r="L120" s="457">
        <f>SUM(Expenditure!S457:S460)</f>
        <v>978.18181818181813</v>
      </c>
      <c r="M120" s="457">
        <f>SUM(Expenditure!T457:T460)</f>
        <v>978.18181818181813</v>
      </c>
      <c r="N120" s="458">
        <f>Expenditure!F460</f>
        <v>10760</v>
      </c>
      <c r="R120" s="455" t="str">
        <f t="shared" si="2"/>
        <v/>
      </c>
    </row>
    <row r="121" spans="1:18" x14ac:dyDescent="0.2">
      <c r="A121" s="459" t="str">
        <f>IF(Expenditure!A462="Add Cost Centre Description Here","Not in use",Expenditure!A462)</f>
        <v>Pupil Premium C/F 19/20</v>
      </c>
      <c r="B121" s="457">
        <f>SUM(Expenditure!I462:I465)</f>
        <v>565.09090909090912</v>
      </c>
      <c r="C121" s="457">
        <f>SUM(Expenditure!J462:J465)</f>
        <v>565.09090909090912</v>
      </c>
      <c r="D121" s="457">
        <f>SUM(Expenditure!K462:K465)</f>
        <v>565.09090909090912</v>
      </c>
      <c r="E121" s="457">
        <f>SUM(Expenditure!L462:L465)</f>
        <v>565.09090909090912</v>
      </c>
      <c r="F121" s="457">
        <f>SUM(Expenditure!M462:M465)</f>
        <v>0</v>
      </c>
      <c r="G121" s="457">
        <f>SUM(Expenditure!N462:N465)</f>
        <v>565.09090909090912</v>
      </c>
      <c r="H121" s="457">
        <f>SUM(Expenditure!O462:O465)</f>
        <v>565.09090909090912</v>
      </c>
      <c r="I121" s="457">
        <f>SUM(Expenditure!P462:P465)</f>
        <v>565.09090909090912</v>
      </c>
      <c r="J121" s="457">
        <f>SUM(Expenditure!Q462:Q465)</f>
        <v>565.09090909090912</v>
      </c>
      <c r="K121" s="457">
        <f>SUM(Expenditure!R462:R465)</f>
        <v>565.09090909090912</v>
      </c>
      <c r="L121" s="457">
        <f>SUM(Expenditure!S462:S465)</f>
        <v>565.09090909090912</v>
      </c>
      <c r="M121" s="457">
        <f>SUM(Expenditure!T462:T465)</f>
        <v>565.09090909090912</v>
      </c>
      <c r="N121" s="458">
        <f>Expenditure!F465</f>
        <v>6216</v>
      </c>
      <c r="R121" s="455" t="str">
        <f t="shared" si="2"/>
        <v/>
      </c>
    </row>
    <row r="122" spans="1:18" x14ac:dyDescent="0.2">
      <c r="A122" s="459" t="str">
        <f>IF(Expenditure!A467="Add Cost Centre Description Here","Not in use",Expenditure!A467)</f>
        <v>PE &amp; Sports Grant</v>
      </c>
      <c r="B122" s="457">
        <f>SUM(Expenditure!I467:I470)</f>
        <v>1520.909090909091</v>
      </c>
      <c r="C122" s="457">
        <f>SUM(Expenditure!J467:J470)</f>
        <v>1520.909090909091</v>
      </c>
      <c r="D122" s="457">
        <f>SUM(Expenditure!K467:K470)</f>
        <v>1520.909090909091</v>
      </c>
      <c r="E122" s="457">
        <f>SUM(Expenditure!L467:L470)</f>
        <v>1520.909090909091</v>
      </c>
      <c r="F122" s="457">
        <f>SUM(Expenditure!M467:M470)</f>
        <v>0</v>
      </c>
      <c r="G122" s="457">
        <f>SUM(Expenditure!N467:N470)</f>
        <v>1520.909090909091</v>
      </c>
      <c r="H122" s="457">
        <f>SUM(Expenditure!O467:O470)</f>
        <v>1520.909090909091</v>
      </c>
      <c r="I122" s="457">
        <f>SUM(Expenditure!P467:P470)</f>
        <v>1520.909090909091</v>
      </c>
      <c r="J122" s="457">
        <f>SUM(Expenditure!Q467:Q470)</f>
        <v>1520.909090909091</v>
      </c>
      <c r="K122" s="457">
        <f>SUM(Expenditure!R467:R470)</f>
        <v>1520.909090909091</v>
      </c>
      <c r="L122" s="457">
        <f>SUM(Expenditure!S467:S470)</f>
        <v>1520.909090909091</v>
      </c>
      <c r="M122" s="457">
        <f>SUM(Expenditure!T467:T470)</f>
        <v>1520.909090909091</v>
      </c>
      <c r="N122" s="458">
        <f>Expenditure!F470</f>
        <v>16730</v>
      </c>
      <c r="R122" s="455" t="str">
        <f t="shared" si="2"/>
        <v/>
      </c>
    </row>
    <row r="123" spans="1:18" x14ac:dyDescent="0.2">
      <c r="A123" s="459" t="str">
        <f>IF(Expenditure!A472="Add Cost Centre Description Here","Not in use",Expenditure!A472)</f>
        <v>PE &amp; Sports Grant C/F 19/20</v>
      </c>
      <c r="B123" s="457">
        <f>SUM(Expenditure!I472:I475)</f>
        <v>893.27272727272725</v>
      </c>
      <c r="C123" s="457">
        <f>SUM(Expenditure!J472:J475)</f>
        <v>893.27272727272725</v>
      </c>
      <c r="D123" s="457">
        <f>SUM(Expenditure!K472:K475)</f>
        <v>893.27272727272725</v>
      </c>
      <c r="E123" s="457">
        <f>SUM(Expenditure!L472:L475)</f>
        <v>893.27272727272725</v>
      </c>
      <c r="F123" s="457">
        <f>SUM(Expenditure!M472:M475)</f>
        <v>0</v>
      </c>
      <c r="G123" s="457">
        <f>SUM(Expenditure!N472:N475)</f>
        <v>893.27272727272725</v>
      </c>
      <c r="H123" s="457">
        <f>SUM(Expenditure!O472:O475)</f>
        <v>893.27272727272725</v>
      </c>
      <c r="I123" s="457">
        <f>SUM(Expenditure!P472:P475)</f>
        <v>893.27272727272725</v>
      </c>
      <c r="J123" s="457">
        <f>SUM(Expenditure!Q472:Q475)</f>
        <v>893.27272727272725</v>
      </c>
      <c r="K123" s="457">
        <f>SUM(Expenditure!R472:R475)</f>
        <v>893.27272727272725</v>
      </c>
      <c r="L123" s="457">
        <f>SUM(Expenditure!S472:S475)</f>
        <v>893.27272727272725</v>
      </c>
      <c r="M123" s="457">
        <f>SUM(Expenditure!T472:T475)</f>
        <v>893.27272727272725</v>
      </c>
      <c r="N123" s="458">
        <f>Expenditure!F475</f>
        <v>9826</v>
      </c>
      <c r="R123" s="455" t="str">
        <f t="shared" si="2"/>
        <v/>
      </c>
    </row>
    <row r="124" spans="1:18" x14ac:dyDescent="0.2">
      <c r="A124" s="459" t="str">
        <f>IF(Expenditure!A477="Add Cost Centre Description Here","Not in use",Expenditure!A477)</f>
        <v>Not in use</v>
      </c>
      <c r="B124" s="457">
        <f>SUM(Expenditure!I477:I480)</f>
        <v>0</v>
      </c>
      <c r="C124" s="457">
        <f>SUM(Expenditure!J477:J480)</f>
        <v>0</v>
      </c>
      <c r="D124" s="457">
        <f>SUM(Expenditure!K477:K480)</f>
        <v>0</v>
      </c>
      <c r="E124" s="457">
        <f>SUM(Expenditure!L477:L480)</f>
        <v>0</v>
      </c>
      <c r="F124" s="457">
        <f>SUM(Expenditure!M477:M480)</f>
        <v>0</v>
      </c>
      <c r="G124" s="457">
        <f>SUM(Expenditure!N477:N480)</f>
        <v>0</v>
      </c>
      <c r="H124" s="457">
        <f>SUM(Expenditure!O477:O480)</f>
        <v>0</v>
      </c>
      <c r="I124" s="457">
        <f>SUM(Expenditure!P477:P480)</f>
        <v>0</v>
      </c>
      <c r="J124" s="457">
        <f>SUM(Expenditure!Q477:Q480)</f>
        <v>0</v>
      </c>
      <c r="K124" s="457">
        <f>SUM(Expenditure!R477:R480)</f>
        <v>0</v>
      </c>
      <c r="L124" s="457">
        <f>SUM(Expenditure!S477:S480)</f>
        <v>0</v>
      </c>
      <c r="M124" s="457">
        <f>SUM(Expenditure!T477:T480)</f>
        <v>0</v>
      </c>
      <c r="N124" s="458">
        <f>Expenditure!F480</f>
        <v>0</v>
      </c>
      <c r="R124" s="455"/>
    </row>
    <row r="125" spans="1:18" x14ac:dyDescent="0.2">
      <c r="A125" s="459" t="str">
        <f>IF(Expenditure!A482="Add Cost Centre Description Here","Not in use",Expenditure!A482)</f>
        <v>Not in use</v>
      </c>
      <c r="B125" s="457">
        <f>SUM(Expenditure!I482:I485)</f>
        <v>0</v>
      </c>
      <c r="C125" s="457">
        <f>SUM(Expenditure!J482:J485)</f>
        <v>0</v>
      </c>
      <c r="D125" s="457">
        <f>SUM(Expenditure!K482:K485)</f>
        <v>0</v>
      </c>
      <c r="E125" s="457">
        <f>SUM(Expenditure!L482:L485)</f>
        <v>0</v>
      </c>
      <c r="F125" s="457">
        <f>SUM(Expenditure!M482:M485)</f>
        <v>0</v>
      </c>
      <c r="G125" s="457">
        <f>SUM(Expenditure!N482:N485)</f>
        <v>0</v>
      </c>
      <c r="H125" s="457">
        <f>SUM(Expenditure!O482:O485)</f>
        <v>0</v>
      </c>
      <c r="I125" s="457">
        <f>SUM(Expenditure!P482:P485)</f>
        <v>0</v>
      </c>
      <c r="J125" s="457">
        <f>SUM(Expenditure!Q482:Q485)</f>
        <v>0</v>
      </c>
      <c r="K125" s="457">
        <f>SUM(Expenditure!R482:R485)</f>
        <v>0</v>
      </c>
      <c r="L125" s="457">
        <f>SUM(Expenditure!S482:S485)</f>
        <v>0</v>
      </c>
      <c r="M125" s="457">
        <f>SUM(Expenditure!T482:T485)</f>
        <v>0</v>
      </c>
      <c r="N125" s="458">
        <f>Expenditure!F485</f>
        <v>0</v>
      </c>
      <c r="R125" s="455"/>
    </row>
    <row r="126" spans="1:18" x14ac:dyDescent="0.2">
      <c r="A126" s="459" t="str">
        <f>IF(Expenditure!A487="Add Cost Centre Description Here","Not in use",Expenditure!A487)</f>
        <v>Not in use</v>
      </c>
      <c r="B126" s="457">
        <f>SUM(Expenditure!I487:I490)</f>
        <v>0</v>
      </c>
      <c r="C126" s="457">
        <f>SUM(Expenditure!J487:J490)</f>
        <v>0</v>
      </c>
      <c r="D126" s="457">
        <f>SUM(Expenditure!K487:K490)</f>
        <v>0</v>
      </c>
      <c r="E126" s="457">
        <f>SUM(Expenditure!L487:L490)</f>
        <v>0</v>
      </c>
      <c r="F126" s="457">
        <f>SUM(Expenditure!M487:M490)</f>
        <v>0</v>
      </c>
      <c r="G126" s="457">
        <f>SUM(Expenditure!N487:N490)</f>
        <v>0</v>
      </c>
      <c r="H126" s="457">
        <f>SUM(Expenditure!O487:O490)</f>
        <v>0</v>
      </c>
      <c r="I126" s="457">
        <f>SUM(Expenditure!P487:P490)</f>
        <v>0</v>
      </c>
      <c r="J126" s="457">
        <f>SUM(Expenditure!Q487:Q490)</f>
        <v>0</v>
      </c>
      <c r="K126" s="457">
        <f>SUM(Expenditure!R487:R490)</f>
        <v>0</v>
      </c>
      <c r="L126" s="457">
        <f>SUM(Expenditure!S487:S490)</f>
        <v>0</v>
      </c>
      <c r="M126" s="457">
        <f>SUM(Expenditure!T487:T490)</f>
        <v>0</v>
      </c>
      <c r="N126" s="458">
        <f>Expenditure!F490</f>
        <v>0</v>
      </c>
      <c r="R126" s="455"/>
    </row>
    <row r="127" spans="1:18" x14ac:dyDescent="0.2">
      <c r="A127" s="459" t="str">
        <f>IF(Expenditure!A492="Add Cost Centre Description Here","Not in use",Expenditure!A492)</f>
        <v>Not in use</v>
      </c>
      <c r="B127" s="457">
        <f>SUM(Expenditure!I492:I495)</f>
        <v>0</v>
      </c>
      <c r="C127" s="457">
        <f>SUM(Expenditure!J492:J495)</f>
        <v>0</v>
      </c>
      <c r="D127" s="457">
        <f>SUM(Expenditure!K492:K495)</f>
        <v>0</v>
      </c>
      <c r="E127" s="457">
        <f>SUM(Expenditure!L492:L495)</f>
        <v>0</v>
      </c>
      <c r="F127" s="457">
        <f>SUM(Expenditure!M492:M495)</f>
        <v>0</v>
      </c>
      <c r="G127" s="457">
        <f>SUM(Expenditure!N492:N495)</f>
        <v>0</v>
      </c>
      <c r="H127" s="457">
        <f>SUM(Expenditure!O492:O495)</f>
        <v>0</v>
      </c>
      <c r="I127" s="457">
        <f>SUM(Expenditure!P492:P495)</f>
        <v>0</v>
      </c>
      <c r="J127" s="457">
        <f>SUM(Expenditure!Q492:Q495)</f>
        <v>0</v>
      </c>
      <c r="K127" s="457">
        <f>SUM(Expenditure!R492:R495)</f>
        <v>0</v>
      </c>
      <c r="L127" s="457">
        <f>SUM(Expenditure!S492:S495)</f>
        <v>0</v>
      </c>
      <c r="M127" s="457">
        <f>SUM(Expenditure!T492:T495)</f>
        <v>0</v>
      </c>
      <c r="N127" s="458">
        <f>Expenditure!F495</f>
        <v>0</v>
      </c>
      <c r="R127" s="455"/>
    </row>
    <row r="128" spans="1:18" x14ac:dyDescent="0.2">
      <c r="A128" s="459" t="str">
        <f>IF(Expenditure!A497="Add Cost Centre Description Here","Not in use",Expenditure!A497)</f>
        <v>Not in use</v>
      </c>
      <c r="B128" s="457">
        <f>SUM(Expenditure!I497:I500)</f>
        <v>0</v>
      </c>
      <c r="C128" s="457">
        <f>SUM(Expenditure!J497:J500)</f>
        <v>0</v>
      </c>
      <c r="D128" s="457">
        <f>SUM(Expenditure!K497:K500)</f>
        <v>0</v>
      </c>
      <c r="E128" s="457">
        <f>SUM(Expenditure!L497:L500)</f>
        <v>0</v>
      </c>
      <c r="F128" s="457">
        <f>SUM(Expenditure!M497:M500)</f>
        <v>0</v>
      </c>
      <c r="G128" s="457">
        <f>SUM(Expenditure!N497:N500)</f>
        <v>0</v>
      </c>
      <c r="H128" s="457">
        <f>SUM(Expenditure!O497:O500)</f>
        <v>0</v>
      </c>
      <c r="I128" s="457">
        <f>SUM(Expenditure!P497:P500)</f>
        <v>0</v>
      </c>
      <c r="J128" s="457">
        <f>SUM(Expenditure!Q497:Q500)</f>
        <v>0</v>
      </c>
      <c r="K128" s="457">
        <f>SUM(Expenditure!R497:R500)</f>
        <v>0</v>
      </c>
      <c r="L128" s="457">
        <f>SUM(Expenditure!S497:S500)</f>
        <v>0</v>
      </c>
      <c r="M128" s="457">
        <f>SUM(Expenditure!T497:T500)</f>
        <v>0</v>
      </c>
      <c r="N128" s="458">
        <f>Expenditure!F500</f>
        <v>0</v>
      </c>
      <c r="R128" s="455"/>
    </row>
    <row r="129" spans="1:18" x14ac:dyDescent="0.2">
      <c r="A129" s="459" t="str">
        <f>IF(Expenditure!A502="Add Cost Centre Description Here","Not in use",Expenditure!A502)</f>
        <v>Not in use</v>
      </c>
      <c r="B129" s="457">
        <f>SUM(Expenditure!I502:I505)</f>
        <v>0</v>
      </c>
      <c r="C129" s="457">
        <f>SUM(Expenditure!J502:J505)</f>
        <v>0</v>
      </c>
      <c r="D129" s="457">
        <f>SUM(Expenditure!K502:K505)</f>
        <v>0</v>
      </c>
      <c r="E129" s="457">
        <f>SUM(Expenditure!L502:L505)</f>
        <v>0</v>
      </c>
      <c r="F129" s="457">
        <f>SUM(Expenditure!M502:M505)</f>
        <v>0</v>
      </c>
      <c r="G129" s="457">
        <f>SUM(Expenditure!N502:N505)</f>
        <v>0</v>
      </c>
      <c r="H129" s="457">
        <f>SUM(Expenditure!O502:O505)</f>
        <v>0</v>
      </c>
      <c r="I129" s="457">
        <f>SUM(Expenditure!P502:P505)</f>
        <v>0</v>
      </c>
      <c r="J129" s="457">
        <f>SUM(Expenditure!Q502:Q505)</f>
        <v>0</v>
      </c>
      <c r="K129" s="457">
        <f>SUM(Expenditure!R502:R505)</f>
        <v>0</v>
      </c>
      <c r="L129" s="457">
        <f>SUM(Expenditure!S502:S505)</f>
        <v>0</v>
      </c>
      <c r="M129" s="457">
        <f>SUM(Expenditure!T502:T505)</f>
        <v>0</v>
      </c>
      <c r="N129" s="458">
        <f>Expenditure!F505</f>
        <v>0</v>
      </c>
      <c r="R129" s="455" t="str">
        <f t="shared" si="2"/>
        <v/>
      </c>
    </row>
    <row r="130" spans="1:18" x14ac:dyDescent="0.2">
      <c r="A130" s="459" t="str">
        <f>IF(Expenditure!A507="Add Cost Centre Description Here","Not in use",Expenditure!A507)</f>
        <v>Not in use</v>
      </c>
      <c r="B130" s="457">
        <f>SUM(Expenditure!I507:I510)</f>
        <v>0</v>
      </c>
      <c r="C130" s="457">
        <f>SUM(Expenditure!J507:J510)</f>
        <v>0</v>
      </c>
      <c r="D130" s="457">
        <f>SUM(Expenditure!K507:K510)</f>
        <v>0</v>
      </c>
      <c r="E130" s="457">
        <f>SUM(Expenditure!L507:L510)</f>
        <v>0</v>
      </c>
      <c r="F130" s="457">
        <f>SUM(Expenditure!M507:M510)</f>
        <v>0</v>
      </c>
      <c r="G130" s="457">
        <f>SUM(Expenditure!N507:N510)</f>
        <v>0</v>
      </c>
      <c r="H130" s="457">
        <f>SUM(Expenditure!O507:O510)</f>
        <v>0</v>
      </c>
      <c r="I130" s="457">
        <f>SUM(Expenditure!P507:P510)</f>
        <v>0</v>
      </c>
      <c r="J130" s="457">
        <f>SUM(Expenditure!Q507:Q510)</f>
        <v>0</v>
      </c>
      <c r="K130" s="457">
        <f>SUM(Expenditure!R507:R510)</f>
        <v>0</v>
      </c>
      <c r="L130" s="457">
        <f>SUM(Expenditure!S507:S510)</f>
        <v>0</v>
      </c>
      <c r="M130" s="457">
        <f>SUM(Expenditure!T507:T510)</f>
        <v>0</v>
      </c>
      <c r="N130" s="458">
        <f>Expenditure!F510</f>
        <v>0</v>
      </c>
      <c r="R130" s="455" t="str">
        <f t="shared" si="2"/>
        <v/>
      </c>
    </row>
    <row r="131" spans="1:18" x14ac:dyDescent="0.2">
      <c r="A131" s="459" t="str">
        <f>IF(Expenditure!A512="Add Cost Centre Description Here","Not in use",Expenditure!A512)</f>
        <v>Not in use</v>
      </c>
      <c r="B131" s="457">
        <f>SUM(Expenditure!I512:I515)</f>
        <v>0</v>
      </c>
      <c r="C131" s="457">
        <f>SUM(Expenditure!J512:J515)</f>
        <v>0</v>
      </c>
      <c r="D131" s="457">
        <f>SUM(Expenditure!K512:K515)</f>
        <v>0</v>
      </c>
      <c r="E131" s="457">
        <f>SUM(Expenditure!L512:L515)</f>
        <v>0</v>
      </c>
      <c r="F131" s="457">
        <f>SUM(Expenditure!M512:M515)</f>
        <v>0</v>
      </c>
      <c r="G131" s="457">
        <f>SUM(Expenditure!N512:N515)</f>
        <v>0</v>
      </c>
      <c r="H131" s="457">
        <f>SUM(Expenditure!O512:O515)</f>
        <v>0</v>
      </c>
      <c r="I131" s="457">
        <f>SUM(Expenditure!P512:P515)</f>
        <v>0</v>
      </c>
      <c r="J131" s="457">
        <f>SUM(Expenditure!Q512:Q515)</f>
        <v>0</v>
      </c>
      <c r="K131" s="457">
        <f>SUM(Expenditure!R512:R515)</f>
        <v>0</v>
      </c>
      <c r="L131" s="457">
        <f>SUM(Expenditure!S512:S515)</f>
        <v>0</v>
      </c>
      <c r="M131" s="457">
        <f>SUM(Expenditure!T512:T515)</f>
        <v>0</v>
      </c>
      <c r="N131" s="458">
        <f>Expenditure!F515</f>
        <v>0</v>
      </c>
      <c r="R131" s="455" t="str">
        <f t="shared" si="2"/>
        <v/>
      </c>
    </row>
    <row r="132" spans="1:18" x14ac:dyDescent="0.2">
      <c r="A132" s="459" t="str">
        <f>IF(Expenditure!A517="Add Cost Centre Description Here","Not in use",Expenditure!A517)</f>
        <v>Not in use</v>
      </c>
      <c r="B132" s="457">
        <f>SUM(Expenditure!I517:I520)</f>
        <v>0</v>
      </c>
      <c r="C132" s="457">
        <f>SUM(Expenditure!J517:J520)</f>
        <v>0</v>
      </c>
      <c r="D132" s="457">
        <f>SUM(Expenditure!K517:K520)</f>
        <v>0</v>
      </c>
      <c r="E132" s="457">
        <f>SUM(Expenditure!L517:L520)</f>
        <v>0</v>
      </c>
      <c r="F132" s="457">
        <f>SUM(Expenditure!M517:M520)</f>
        <v>0</v>
      </c>
      <c r="G132" s="457">
        <f>SUM(Expenditure!N517:N520)</f>
        <v>0</v>
      </c>
      <c r="H132" s="457">
        <f>SUM(Expenditure!O517:O520)</f>
        <v>0</v>
      </c>
      <c r="I132" s="457">
        <f>SUM(Expenditure!P517:P520)</f>
        <v>0</v>
      </c>
      <c r="J132" s="457">
        <f>SUM(Expenditure!Q517:Q520)</f>
        <v>0</v>
      </c>
      <c r="K132" s="457">
        <f>SUM(Expenditure!R517:R520)</f>
        <v>0</v>
      </c>
      <c r="L132" s="457">
        <f>SUM(Expenditure!S517:S520)</f>
        <v>0</v>
      </c>
      <c r="M132" s="457">
        <f>SUM(Expenditure!T517:T520)</f>
        <v>0</v>
      </c>
      <c r="N132" s="458">
        <f>Expenditure!F520</f>
        <v>0</v>
      </c>
      <c r="R132" s="455" t="str">
        <f t="shared" si="2"/>
        <v/>
      </c>
    </row>
    <row r="133" spans="1:18" x14ac:dyDescent="0.2">
      <c r="A133" s="459" t="str">
        <f>IF(Expenditure!A522="Add Cost Centre Description Here","Not in use",Expenditure!A522)</f>
        <v>Not in use</v>
      </c>
      <c r="B133" s="457">
        <f>SUM(Expenditure!I522:I525)</f>
        <v>0</v>
      </c>
      <c r="C133" s="457">
        <f>SUM(Expenditure!J522:J525)</f>
        <v>0</v>
      </c>
      <c r="D133" s="457">
        <f>SUM(Expenditure!K522:K525)</f>
        <v>0</v>
      </c>
      <c r="E133" s="457">
        <f>SUM(Expenditure!L522:L525)</f>
        <v>0</v>
      </c>
      <c r="F133" s="457">
        <f>SUM(Expenditure!M522:M525)</f>
        <v>0</v>
      </c>
      <c r="G133" s="457">
        <f>SUM(Expenditure!N522:N525)</f>
        <v>0</v>
      </c>
      <c r="H133" s="457">
        <f>SUM(Expenditure!O522:O525)</f>
        <v>0</v>
      </c>
      <c r="I133" s="457">
        <f>SUM(Expenditure!P522:P525)</f>
        <v>0</v>
      </c>
      <c r="J133" s="457">
        <f>SUM(Expenditure!Q522:Q525)</f>
        <v>0</v>
      </c>
      <c r="K133" s="457">
        <f>SUM(Expenditure!R522:R525)</f>
        <v>0</v>
      </c>
      <c r="L133" s="457">
        <f>SUM(Expenditure!S522:S525)</f>
        <v>0</v>
      </c>
      <c r="M133" s="457">
        <f>SUM(Expenditure!T522:T525)</f>
        <v>0</v>
      </c>
      <c r="N133" s="458">
        <f>Expenditure!F525</f>
        <v>0</v>
      </c>
      <c r="R133" s="455" t="str">
        <f t="shared" si="2"/>
        <v/>
      </c>
    </row>
    <row r="134" spans="1:18" x14ac:dyDescent="0.2">
      <c r="A134" s="459" t="str">
        <f>IF(Expenditure!A527="Add Cost Centre Description Here","Not in use",Expenditure!A527)</f>
        <v>Not in use</v>
      </c>
      <c r="B134" s="457">
        <f>SUM(Expenditure!I527:I530)</f>
        <v>0</v>
      </c>
      <c r="C134" s="457">
        <f>SUM(Expenditure!J527:J530)</f>
        <v>0</v>
      </c>
      <c r="D134" s="457">
        <f>SUM(Expenditure!K527:K530)</f>
        <v>0</v>
      </c>
      <c r="E134" s="457">
        <f>SUM(Expenditure!L527:L530)</f>
        <v>0</v>
      </c>
      <c r="F134" s="457">
        <f>SUM(Expenditure!M527:M530)</f>
        <v>0</v>
      </c>
      <c r="G134" s="457">
        <f>SUM(Expenditure!N527:N530)</f>
        <v>0</v>
      </c>
      <c r="H134" s="457">
        <f>SUM(Expenditure!O527:O530)</f>
        <v>0</v>
      </c>
      <c r="I134" s="457">
        <f>SUM(Expenditure!P527:P530)</f>
        <v>0</v>
      </c>
      <c r="J134" s="457">
        <f>SUM(Expenditure!Q527:Q530)</f>
        <v>0</v>
      </c>
      <c r="K134" s="457">
        <f>SUM(Expenditure!R527:R530)</f>
        <v>0</v>
      </c>
      <c r="L134" s="457">
        <f>SUM(Expenditure!S527:S530)</f>
        <v>0</v>
      </c>
      <c r="M134" s="457">
        <f>SUM(Expenditure!T527:T530)</f>
        <v>0</v>
      </c>
      <c r="N134" s="458">
        <f>Expenditure!F530</f>
        <v>0</v>
      </c>
      <c r="R134" s="455" t="str">
        <f t="shared" si="2"/>
        <v/>
      </c>
    </row>
    <row r="135" spans="1:18" x14ac:dyDescent="0.2">
      <c r="A135" s="459" t="str">
        <f>IF(Expenditure!A532="Add Cost Centre Description Here","Not in use",Expenditure!A532)</f>
        <v>Not in use</v>
      </c>
      <c r="B135" s="457">
        <f>SUM(Expenditure!I532:I535)</f>
        <v>0</v>
      </c>
      <c r="C135" s="457">
        <f>SUM(Expenditure!J532:J535)</f>
        <v>0</v>
      </c>
      <c r="D135" s="457">
        <f>SUM(Expenditure!K532:K535)</f>
        <v>0</v>
      </c>
      <c r="E135" s="457">
        <f>SUM(Expenditure!L532:L535)</f>
        <v>0</v>
      </c>
      <c r="F135" s="457">
        <f>SUM(Expenditure!M532:M535)</f>
        <v>0</v>
      </c>
      <c r="G135" s="457">
        <f>SUM(Expenditure!N532:N535)</f>
        <v>0</v>
      </c>
      <c r="H135" s="457">
        <f>SUM(Expenditure!O532:O535)</f>
        <v>0</v>
      </c>
      <c r="I135" s="457">
        <f>SUM(Expenditure!P532:P535)</f>
        <v>0</v>
      </c>
      <c r="J135" s="457">
        <f>SUM(Expenditure!Q532:Q535)</f>
        <v>0</v>
      </c>
      <c r="K135" s="457">
        <f>SUM(Expenditure!R532:R535)</f>
        <v>0</v>
      </c>
      <c r="L135" s="457">
        <f>SUM(Expenditure!S532:S535)</f>
        <v>0</v>
      </c>
      <c r="M135" s="457">
        <f>SUM(Expenditure!T532:T535)</f>
        <v>0</v>
      </c>
      <c r="N135" s="458">
        <f>Expenditure!F535</f>
        <v>0</v>
      </c>
      <c r="R135" s="455"/>
    </row>
    <row r="136" spans="1:18" x14ac:dyDescent="0.2">
      <c r="A136" s="459" t="str">
        <f>IF(Expenditure!A537="Add Cost Centre Description Here","Not in use",Expenditure!A537)</f>
        <v>Not in use</v>
      </c>
      <c r="B136" s="457">
        <f>SUM(Expenditure!I537:I540)</f>
        <v>0</v>
      </c>
      <c r="C136" s="457">
        <f>SUM(Expenditure!J537:J540)</f>
        <v>0</v>
      </c>
      <c r="D136" s="457">
        <f>SUM(Expenditure!K537:K540)</f>
        <v>0</v>
      </c>
      <c r="E136" s="457">
        <f>SUM(Expenditure!L537:L540)</f>
        <v>0</v>
      </c>
      <c r="F136" s="457">
        <f>SUM(Expenditure!M537:M540)</f>
        <v>0</v>
      </c>
      <c r="G136" s="457">
        <f>SUM(Expenditure!N537:N540)</f>
        <v>0</v>
      </c>
      <c r="H136" s="457">
        <f>SUM(Expenditure!O537:O540)</f>
        <v>0</v>
      </c>
      <c r="I136" s="457">
        <f>SUM(Expenditure!P537:P540)</f>
        <v>0</v>
      </c>
      <c r="J136" s="457">
        <f>SUM(Expenditure!Q537:Q540)</f>
        <v>0</v>
      </c>
      <c r="K136" s="457">
        <f>SUM(Expenditure!R537:R540)</f>
        <v>0</v>
      </c>
      <c r="L136" s="457">
        <f>SUM(Expenditure!S537:S540)</f>
        <v>0</v>
      </c>
      <c r="M136" s="457">
        <f>SUM(Expenditure!T537:T540)</f>
        <v>0</v>
      </c>
      <c r="N136" s="458">
        <f>Expenditure!F540</f>
        <v>0</v>
      </c>
      <c r="R136" s="455"/>
    </row>
    <row r="137" spans="1:18" x14ac:dyDescent="0.2">
      <c r="A137" s="459" t="str">
        <f>IF(Expenditure!A542="Add Cost Centre Description Here","Not in use",Expenditure!A542)</f>
        <v>Not in use</v>
      </c>
      <c r="B137" s="457">
        <f>SUM(Expenditure!I542:I545)</f>
        <v>0</v>
      </c>
      <c r="C137" s="457">
        <f>SUM(Expenditure!J542:J545)</f>
        <v>0</v>
      </c>
      <c r="D137" s="457">
        <f>SUM(Expenditure!K542:K545)</f>
        <v>0</v>
      </c>
      <c r="E137" s="457">
        <f>SUM(Expenditure!L542:L545)</f>
        <v>0</v>
      </c>
      <c r="F137" s="457">
        <f>SUM(Expenditure!M542:M545)</f>
        <v>0</v>
      </c>
      <c r="G137" s="457">
        <f>SUM(Expenditure!N542:N545)</f>
        <v>0</v>
      </c>
      <c r="H137" s="457">
        <f>SUM(Expenditure!O542:O545)</f>
        <v>0</v>
      </c>
      <c r="I137" s="457">
        <f>SUM(Expenditure!P542:P545)</f>
        <v>0</v>
      </c>
      <c r="J137" s="457">
        <f>SUM(Expenditure!Q542:Q545)</f>
        <v>0</v>
      </c>
      <c r="K137" s="457">
        <f>SUM(Expenditure!R542:R545)</f>
        <v>0</v>
      </c>
      <c r="L137" s="457">
        <f>SUM(Expenditure!S542:S545)</f>
        <v>0</v>
      </c>
      <c r="M137" s="457">
        <f>SUM(Expenditure!T542:T545)</f>
        <v>0</v>
      </c>
      <c r="N137" s="458">
        <f>Expenditure!F545</f>
        <v>0</v>
      </c>
      <c r="R137" s="455"/>
    </row>
    <row r="138" spans="1:18" x14ac:dyDescent="0.2">
      <c r="A138" s="459" t="str">
        <f>IF(Expenditure!A547="Add Cost Centre Description Here","Not in use",Expenditure!A547)</f>
        <v>Not in use</v>
      </c>
      <c r="B138" s="457">
        <f>SUM(Expenditure!I547:I550)</f>
        <v>0</v>
      </c>
      <c r="C138" s="457">
        <f>SUM(Expenditure!J547:J550)</f>
        <v>0</v>
      </c>
      <c r="D138" s="457">
        <f>SUM(Expenditure!K547:K550)</f>
        <v>0</v>
      </c>
      <c r="E138" s="457">
        <f>SUM(Expenditure!L547:L550)</f>
        <v>0</v>
      </c>
      <c r="F138" s="457">
        <f>SUM(Expenditure!M547:M550)</f>
        <v>0</v>
      </c>
      <c r="G138" s="457">
        <f>SUM(Expenditure!N547:N550)</f>
        <v>0</v>
      </c>
      <c r="H138" s="457">
        <f>SUM(Expenditure!O547:O550)</f>
        <v>0</v>
      </c>
      <c r="I138" s="457">
        <f>SUM(Expenditure!P547:P550)</f>
        <v>0</v>
      </c>
      <c r="J138" s="457">
        <f>SUM(Expenditure!Q547:Q550)</f>
        <v>0</v>
      </c>
      <c r="K138" s="457">
        <f>SUM(Expenditure!R547:R550)</f>
        <v>0</v>
      </c>
      <c r="L138" s="457">
        <f>SUM(Expenditure!S547:S550)</f>
        <v>0</v>
      </c>
      <c r="M138" s="457">
        <f>SUM(Expenditure!T547:T550)</f>
        <v>0</v>
      </c>
      <c r="N138" s="458">
        <f>Expenditure!F5550</f>
        <v>0</v>
      </c>
      <c r="R138" s="455" t="str">
        <f t="shared" si="2"/>
        <v/>
      </c>
    </row>
    <row r="139" spans="1:18" x14ac:dyDescent="0.2">
      <c r="A139" s="459" t="str">
        <f>IF(Expenditure!A552="Add Cost Centre Description Here","Not in use",Expenditure!A552)</f>
        <v>Not in use</v>
      </c>
      <c r="B139" s="457">
        <f>SUM(Expenditure!I552:I555)</f>
        <v>0</v>
      </c>
      <c r="C139" s="457">
        <f>SUM(Expenditure!J552:J555)</f>
        <v>0</v>
      </c>
      <c r="D139" s="457">
        <f>SUM(Expenditure!K552:K555)</f>
        <v>0</v>
      </c>
      <c r="E139" s="457">
        <f>SUM(Expenditure!L552:L555)</f>
        <v>0</v>
      </c>
      <c r="F139" s="457">
        <f>SUM(Expenditure!M552:M555)</f>
        <v>0</v>
      </c>
      <c r="G139" s="457">
        <f>SUM(Expenditure!N552:N555)</f>
        <v>0</v>
      </c>
      <c r="H139" s="457">
        <f>SUM(Expenditure!O552:O555)</f>
        <v>0</v>
      </c>
      <c r="I139" s="457">
        <f>SUM(Expenditure!P552:P555)</f>
        <v>0</v>
      </c>
      <c r="J139" s="457">
        <f>SUM(Expenditure!Q552:Q555)</f>
        <v>0</v>
      </c>
      <c r="K139" s="457">
        <f>SUM(Expenditure!R552:R555)</f>
        <v>0</v>
      </c>
      <c r="L139" s="457">
        <f>SUM(Expenditure!S552:S555)</f>
        <v>0</v>
      </c>
      <c r="M139" s="457">
        <f>SUM(Expenditure!T552:T555)</f>
        <v>0</v>
      </c>
      <c r="N139" s="458">
        <f>Expenditure!F555</f>
        <v>0</v>
      </c>
      <c r="R139" s="455"/>
    </row>
    <row r="140" spans="1:18" x14ac:dyDescent="0.2">
      <c r="A140" s="459" t="str">
        <f>IF(Expenditure!A557="Add Cost Centre Description Here","Not in use",Expenditure!A557)</f>
        <v>Not in use</v>
      </c>
      <c r="B140" s="457">
        <f>SUM(Expenditure!I557:I560)</f>
        <v>0</v>
      </c>
      <c r="C140" s="457">
        <f>SUM(Expenditure!J557:J560)</f>
        <v>0</v>
      </c>
      <c r="D140" s="457">
        <f>SUM(Expenditure!K557:K560)</f>
        <v>0</v>
      </c>
      <c r="E140" s="457">
        <f>SUM(Expenditure!L557:L560)</f>
        <v>0</v>
      </c>
      <c r="F140" s="457">
        <f>SUM(Expenditure!M557:M560)</f>
        <v>0</v>
      </c>
      <c r="G140" s="457">
        <f>SUM(Expenditure!N557:N560)</f>
        <v>0</v>
      </c>
      <c r="H140" s="457">
        <f>SUM(Expenditure!O557:O560)</f>
        <v>0</v>
      </c>
      <c r="I140" s="457">
        <f>SUM(Expenditure!P557:P560)</f>
        <v>0</v>
      </c>
      <c r="J140" s="457">
        <f>SUM(Expenditure!Q557:Q560)</f>
        <v>0</v>
      </c>
      <c r="K140" s="457">
        <f>SUM(Expenditure!R557:R560)</f>
        <v>0</v>
      </c>
      <c r="L140" s="457">
        <f>SUM(Expenditure!S557:S560)</f>
        <v>0</v>
      </c>
      <c r="M140" s="457">
        <f>SUM(Expenditure!T557:T560)</f>
        <v>0</v>
      </c>
      <c r="N140" s="458">
        <f>Expenditure!F560</f>
        <v>0</v>
      </c>
      <c r="R140" s="455"/>
    </row>
    <row r="141" spans="1:18" x14ac:dyDescent="0.2">
      <c r="A141" s="459" t="str">
        <f>IF(Expenditure!A562="Add Cost Centre Description Here","Not in use",Expenditure!A562)</f>
        <v>Not in use</v>
      </c>
      <c r="B141" s="457">
        <f>SUM(Expenditure!I562:I565)</f>
        <v>0</v>
      </c>
      <c r="C141" s="457">
        <f>SUM(Expenditure!J562:J565)</f>
        <v>0</v>
      </c>
      <c r="D141" s="457">
        <f>SUM(Expenditure!K562:K565)</f>
        <v>0</v>
      </c>
      <c r="E141" s="457">
        <f>SUM(Expenditure!L562:L565)</f>
        <v>0</v>
      </c>
      <c r="F141" s="457">
        <f>SUM(Expenditure!M562:M565)</f>
        <v>0</v>
      </c>
      <c r="G141" s="457">
        <f>SUM(Expenditure!N562:N565)</f>
        <v>0</v>
      </c>
      <c r="H141" s="457">
        <f>SUM(Expenditure!O562:O565)</f>
        <v>0</v>
      </c>
      <c r="I141" s="457">
        <f>SUM(Expenditure!P562:P565)</f>
        <v>0</v>
      </c>
      <c r="J141" s="457">
        <f>SUM(Expenditure!Q562:Q565)</f>
        <v>0</v>
      </c>
      <c r="K141" s="457">
        <f>SUM(Expenditure!R562:R565)</f>
        <v>0</v>
      </c>
      <c r="L141" s="457">
        <f>SUM(Expenditure!S562:S565)</f>
        <v>0</v>
      </c>
      <c r="M141" s="457">
        <f>SUM(Expenditure!T562:T565)</f>
        <v>0</v>
      </c>
      <c r="N141" s="458">
        <f>Expenditure!F565</f>
        <v>0</v>
      </c>
      <c r="R141" s="455"/>
    </row>
    <row r="142" spans="1:18" ht="13.5" thickBot="1" x14ac:dyDescent="0.25">
      <c r="A142" s="459" t="str">
        <f>IF(Expenditure!A567="Add Cost Centre Description Here","Not in use",Expenditure!A567)</f>
        <v>Not in use</v>
      </c>
      <c r="B142" s="457">
        <f>SUM(Expenditure!I567:I570)</f>
        <v>0</v>
      </c>
      <c r="C142" s="457">
        <f>SUM(Expenditure!J567:J570)</f>
        <v>0</v>
      </c>
      <c r="D142" s="457">
        <f>SUM(Expenditure!K567:K570)</f>
        <v>0</v>
      </c>
      <c r="E142" s="457">
        <f>SUM(Expenditure!L567:L570)</f>
        <v>0</v>
      </c>
      <c r="F142" s="457">
        <f>SUM(Expenditure!M567:M570)</f>
        <v>0</v>
      </c>
      <c r="G142" s="457">
        <f>SUM(Expenditure!N567:N570)</f>
        <v>0</v>
      </c>
      <c r="H142" s="457">
        <f>SUM(Expenditure!O567:O570)</f>
        <v>0</v>
      </c>
      <c r="I142" s="457">
        <f>SUM(Expenditure!P567:P570)</f>
        <v>0</v>
      </c>
      <c r="J142" s="457">
        <f>SUM(Expenditure!Q567:Q570)</f>
        <v>0</v>
      </c>
      <c r="K142" s="457">
        <f>SUM(Expenditure!R567:R570)</f>
        <v>0</v>
      </c>
      <c r="L142" s="457">
        <f>SUM(Expenditure!S567:S570)</f>
        <v>0</v>
      </c>
      <c r="M142" s="457">
        <f>SUM(Expenditure!T567:T570)</f>
        <v>0</v>
      </c>
      <c r="N142" s="458">
        <f>Expenditure!F570</f>
        <v>0</v>
      </c>
      <c r="R142" s="455"/>
    </row>
    <row r="143" spans="1:18" s="443" customFormat="1" ht="13.5" thickBot="1" x14ac:dyDescent="0.25">
      <c r="A143" s="462" t="s">
        <v>547</v>
      </c>
      <c r="B143" s="461">
        <f t="shared" ref="B143:N143" si="3">SUM(B53:B142)</f>
        <v>60310.918181818182</v>
      </c>
      <c r="C143" s="461">
        <f t="shared" si="3"/>
        <v>46188.168181818182</v>
      </c>
      <c r="D143" s="461">
        <f t="shared" si="3"/>
        <v>45730.168181818182</v>
      </c>
      <c r="E143" s="461">
        <f t="shared" si="3"/>
        <v>48515.918181818182</v>
      </c>
      <c r="F143" s="461">
        <f t="shared" si="3"/>
        <v>44263.35</v>
      </c>
      <c r="G143" s="461">
        <f t="shared" si="3"/>
        <v>44736.16818181819</v>
      </c>
      <c r="H143" s="461">
        <f t="shared" si="3"/>
        <v>42941.91818181819</v>
      </c>
      <c r="I143" s="461">
        <f t="shared" si="3"/>
        <v>40988.16818181819</v>
      </c>
      <c r="J143" s="461">
        <f t="shared" si="3"/>
        <v>40156.16818181819</v>
      </c>
      <c r="K143" s="461">
        <f t="shared" si="3"/>
        <v>48353.91818181819</v>
      </c>
      <c r="L143" s="461">
        <f t="shared" si="3"/>
        <v>43129.16818181819</v>
      </c>
      <c r="M143" s="461">
        <f t="shared" si="3"/>
        <v>40989.16818181819</v>
      </c>
      <c r="N143" s="461">
        <f t="shared" si="3"/>
        <v>545187.19999999995</v>
      </c>
      <c r="O143" s="450"/>
    </row>
    <row r="144" spans="1:18" ht="6" customHeight="1" thickBot="1" x14ac:dyDescent="0.25">
      <c r="B144" s="465"/>
      <c r="C144" s="465"/>
      <c r="D144" s="465"/>
      <c r="E144" s="465"/>
      <c r="F144" s="465"/>
      <c r="G144" s="465"/>
      <c r="H144" s="465"/>
      <c r="I144" s="465"/>
      <c r="J144" s="465"/>
      <c r="K144" s="466"/>
      <c r="L144" s="467"/>
      <c r="M144" s="467"/>
      <c r="N144" s="468"/>
    </row>
    <row r="145" spans="1:15" s="474" customFormat="1" ht="17.25" customHeight="1" thickBot="1" x14ac:dyDescent="0.3">
      <c r="A145" s="469" t="s">
        <v>283</v>
      </c>
      <c r="B145" s="470">
        <f>B4</f>
        <v>0</v>
      </c>
      <c r="C145" s="470">
        <f>B147</f>
        <v>-12126.395454545454</v>
      </c>
      <c r="D145" s="470">
        <f t="shared" ref="D145:M145" si="4">C147</f>
        <v>-23124.790909090909</v>
      </c>
      <c r="E145" s="470">
        <f t="shared" si="4"/>
        <v>-33665.186363636363</v>
      </c>
      <c r="F145" s="470">
        <f t="shared" si="4"/>
        <v>-29089.331818181818</v>
      </c>
      <c r="G145" s="470">
        <f t="shared" si="4"/>
        <v>-35358.181818181816</v>
      </c>
      <c r="H145" s="470">
        <f t="shared" si="4"/>
        <v>-44904.577272727278</v>
      </c>
      <c r="I145" s="470">
        <f t="shared" si="4"/>
        <v>-52656.72272727274</v>
      </c>
      <c r="J145" s="470">
        <f>I147</f>
        <v>-40263.118181818201</v>
      </c>
      <c r="K145" s="470">
        <f t="shared" si="4"/>
        <v>-41642.513636363663</v>
      </c>
      <c r="L145" s="470">
        <f t="shared" si="4"/>
        <v>-45649.659090909125</v>
      </c>
      <c r="M145" s="471">
        <f t="shared" si="4"/>
        <v>-53589.054545454586</v>
      </c>
      <c r="N145" s="472"/>
      <c r="O145" s="473"/>
    </row>
    <row r="146" spans="1:15" s="475" customFormat="1" ht="4.5" customHeight="1" thickBot="1" x14ac:dyDescent="0.25">
      <c r="N146" s="476"/>
      <c r="O146" s="450"/>
    </row>
    <row r="147" spans="1:15" s="474" customFormat="1" ht="18" customHeight="1" thickBot="1" x14ac:dyDescent="0.3">
      <c r="A147" s="469" t="s">
        <v>284</v>
      </c>
      <c r="B147" s="470">
        <f t="shared" ref="B147:M147" si="5">B145+B50-B143</f>
        <v>-12126.395454545454</v>
      </c>
      <c r="C147" s="470">
        <f t="shared" si="5"/>
        <v>-23124.790909090909</v>
      </c>
      <c r="D147" s="470">
        <f t="shared" si="5"/>
        <v>-33665.186363636363</v>
      </c>
      <c r="E147" s="470">
        <f t="shared" si="5"/>
        <v>-29089.331818181818</v>
      </c>
      <c r="F147" s="470">
        <f t="shared" si="5"/>
        <v>-35358.181818181816</v>
      </c>
      <c r="G147" s="470">
        <f t="shared" si="5"/>
        <v>-44904.577272727278</v>
      </c>
      <c r="H147" s="470">
        <f t="shared" si="5"/>
        <v>-52656.72272727274</v>
      </c>
      <c r="I147" s="470">
        <f t="shared" si="5"/>
        <v>-40263.118181818201</v>
      </c>
      <c r="J147" s="470">
        <f t="shared" si="5"/>
        <v>-41642.513636363663</v>
      </c>
      <c r="K147" s="470">
        <f t="shared" si="5"/>
        <v>-45649.659090909125</v>
      </c>
      <c r="L147" s="470">
        <f t="shared" si="5"/>
        <v>-53589.054545454586</v>
      </c>
      <c r="M147" s="471">
        <f t="shared" si="5"/>
        <v>-56698.450000000048</v>
      </c>
      <c r="N147" s="472"/>
      <c r="O147" s="473"/>
    </row>
    <row r="148" spans="1:15" hidden="1" x14ac:dyDescent="0.2">
      <c r="B148" s="477">
        <f>IF(B147&lt;0,-1,0)</f>
        <v>-1</v>
      </c>
      <c r="C148" s="477">
        <f t="shared" ref="C148:M148" si="6">IF(C147&lt;0,-1,0)</f>
        <v>-1</v>
      </c>
      <c r="D148" s="477">
        <f t="shared" si="6"/>
        <v>-1</v>
      </c>
      <c r="E148" s="477">
        <f t="shared" si="6"/>
        <v>-1</v>
      </c>
      <c r="F148" s="477">
        <f t="shared" si="6"/>
        <v>-1</v>
      </c>
      <c r="G148" s="477">
        <f t="shared" si="6"/>
        <v>-1</v>
      </c>
      <c r="H148" s="477">
        <f t="shared" si="6"/>
        <v>-1</v>
      </c>
      <c r="I148" s="477">
        <f t="shared" si="6"/>
        <v>-1</v>
      </c>
      <c r="J148" s="477">
        <f t="shared" si="6"/>
        <v>-1</v>
      </c>
      <c r="K148" s="477">
        <f t="shared" si="6"/>
        <v>-1</v>
      </c>
      <c r="L148" s="477">
        <f t="shared" si="6"/>
        <v>-1</v>
      </c>
      <c r="M148" s="477">
        <f t="shared" si="6"/>
        <v>-1</v>
      </c>
      <c r="N148" s="478">
        <f>SUM(B148:M148)</f>
        <v>-12</v>
      </c>
    </row>
    <row r="161" ht="15" customHeight="1" x14ac:dyDescent="0.2"/>
    <row r="162" ht="7.5" customHeight="1" x14ac:dyDescent="0.2"/>
    <row r="164" ht="12.75" customHeight="1" x14ac:dyDescent="0.2"/>
    <row r="165" ht="25.5" customHeight="1" x14ac:dyDescent="0.2"/>
    <row r="166" ht="9.75" customHeight="1" x14ac:dyDescent="0.2"/>
    <row r="167" ht="12.75" customHeight="1" x14ac:dyDescent="0.2"/>
    <row r="168" ht="7.5" customHeight="1" x14ac:dyDescent="0.2"/>
    <row r="169" ht="12" customHeight="1" x14ac:dyDescent="0.2"/>
    <row r="170" ht="12" customHeight="1" x14ac:dyDescent="0.2"/>
    <row r="171" ht="12" customHeight="1" x14ac:dyDescent="0.2"/>
    <row r="173" ht="14.25" customHeight="1" x14ac:dyDescent="0.2"/>
    <row r="174" ht="6" customHeight="1" x14ac:dyDescent="0.2"/>
    <row r="175" ht="14.25" customHeight="1" x14ac:dyDescent="0.2"/>
    <row r="176" ht="6" customHeight="1" x14ac:dyDescent="0.2"/>
    <row r="177" ht="14.25" customHeight="1" x14ac:dyDescent="0.2"/>
    <row r="178" ht="6" customHeight="1" x14ac:dyDescent="0.2"/>
    <row r="179" ht="14.25" customHeight="1" x14ac:dyDescent="0.2"/>
    <row r="180" ht="6" customHeight="1" x14ac:dyDescent="0.2"/>
    <row r="181" ht="14.25" customHeight="1" x14ac:dyDescent="0.2"/>
    <row r="182" ht="6" customHeight="1" x14ac:dyDescent="0.2"/>
    <row r="183" ht="14.25" customHeight="1" x14ac:dyDescent="0.2"/>
    <row r="184" ht="6" customHeight="1" x14ac:dyDescent="0.2"/>
    <row r="185" ht="14.25" customHeight="1" x14ac:dyDescent="0.2"/>
    <row r="186" ht="6" customHeight="1" x14ac:dyDescent="0.2"/>
    <row r="187" ht="14.25" customHeight="1" x14ac:dyDescent="0.2"/>
    <row r="188" ht="6" customHeight="1" x14ac:dyDescent="0.2"/>
    <row r="189" ht="14.25" customHeight="1" x14ac:dyDescent="0.2"/>
    <row r="190" ht="6" customHeight="1" x14ac:dyDescent="0.2"/>
    <row r="191" ht="14.25" customHeight="1" x14ac:dyDescent="0.2"/>
    <row r="192" ht="6" customHeight="1" x14ac:dyDescent="0.2"/>
    <row r="193" ht="14.25" customHeight="1" x14ac:dyDescent="0.2"/>
    <row r="194" ht="6" customHeight="1" x14ac:dyDescent="0.2"/>
    <row r="195" ht="14.25" customHeight="1" x14ac:dyDescent="0.2"/>
    <row r="196" ht="8.25" customHeight="1" x14ac:dyDescent="0.2"/>
    <row r="197" ht="14.25" customHeight="1" x14ac:dyDescent="0.2"/>
    <row r="199" ht="11.25" customHeight="1" x14ac:dyDescent="0.2"/>
    <row r="200" ht="6" customHeight="1" x14ac:dyDescent="0.2"/>
    <row r="201" ht="11.25" customHeight="1" x14ac:dyDescent="0.2"/>
    <row r="202" ht="6" customHeight="1" x14ac:dyDescent="0.2"/>
    <row r="203" ht="11.25" customHeight="1" x14ac:dyDescent="0.2"/>
    <row r="204" ht="11.25" customHeight="1" x14ac:dyDescent="0.2"/>
    <row r="205" ht="11.25" customHeight="1" x14ac:dyDescent="0.2"/>
    <row r="206" ht="11.25" customHeight="1" x14ac:dyDescent="0.2"/>
    <row r="207" ht="6" customHeight="1" x14ac:dyDescent="0.2"/>
    <row r="208" ht="11.25" customHeight="1" x14ac:dyDescent="0.2"/>
    <row r="209" ht="6" customHeight="1" x14ac:dyDescent="0.2"/>
    <row r="210" ht="11.25" customHeight="1" x14ac:dyDescent="0.2"/>
    <row r="211" ht="11.25" customHeight="1" x14ac:dyDescent="0.2"/>
    <row r="212" ht="6" customHeight="1" x14ac:dyDescent="0.2"/>
    <row r="213" ht="11.25" customHeight="1" x14ac:dyDescent="0.2"/>
    <row r="214" ht="11.25" customHeight="1" x14ac:dyDescent="0.2"/>
    <row r="215" ht="6" customHeight="1" x14ac:dyDescent="0.2"/>
    <row r="216" ht="11.25" customHeight="1" x14ac:dyDescent="0.2"/>
    <row r="217" ht="11.25" customHeight="1" x14ac:dyDescent="0.2"/>
    <row r="218" ht="11.25" customHeight="1" x14ac:dyDescent="0.2"/>
    <row r="219" ht="11.25" customHeight="1" x14ac:dyDescent="0.2"/>
    <row r="220" ht="11.25" customHeight="1" x14ac:dyDescent="0.2"/>
    <row r="221" ht="24" customHeight="1" x14ac:dyDescent="0.2"/>
    <row r="222" ht="12"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sheetData>
  <sheetProtection algorithmName="SHA-512" hashValue="WrWoM+A3BSlPedHglHT7aYEJ1T+1jIpLBLPhzVgh6l5Nxw5Z9EcmJELdWSXqJY4aUT7nFQfjvWmu9MUbwJzmMw==" saltValue="qMhTahTvmOEq+uWVxP+LRQ==" spinCount="100000" sheet="1" formatCells="0"/>
  <mergeCells count="5">
    <mergeCell ref="A1:N1"/>
    <mergeCell ref="K51:N51"/>
    <mergeCell ref="B4:C4"/>
    <mergeCell ref="E4:G4"/>
    <mergeCell ref="B2:N2"/>
  </mergeCells>
  <phoneticPr fontId="0" type="noConversion"/>
  <conditionalFormatting sqref="N53:N55 N57:N142">
    <cfRule type="cellIs" dxfId="12" priority="3" stopIfTrue="1" operator="notEqual">
      <formula>ROUND(SUM(B53:M53),0)</formula>
    </cfRule>
  </conditionalFormatting>
  <conditionalFormatting sqref="N56">
    <cfRule type="cellIs" dxfId="11" priority="4" stopIfTrue="1" operator="notEqual">
      <formula>ROUND(SUM(B56:M56),0)</formula>
    </cfRule>
  </conditionalFormatting>
  <conditionalFormatting sqref="N9:N49">
    <cfRule type="cellIs" dxfId="10" priority="5" stopIfTrue="1" operator="notEqual">
      <formula>ROUND(SUM(B9:M9),0)</formula>
    </cfRule>
  </conditionalFormatting>
  <conditionalFormatting sqref="A19:A33 A37:A49">
    <cfRule type="cellIs" dxfId="9" priority="2" operator="equal">
      <formula>"Not in use"</formula>
    </cfRule>
  </conditionalFormatting>
  <conditionalFormatting sqref="A66:A73 A84:A89 A92:A99 A102:A103 A107:A112 A120:A142">
    <cfRule type="cellIs" dxfId="8" priority="1" operator="equal">
      <formula>"Not in use"</formula>
    </cfRule>
  </conditionalFormatting>
  <dataValidations xWindow="329" yWindow="600" count="1">
    <dataValidation type="whole" allowBlank="1" showInputMessage="1" showErrorMessage="1" error="Please enter figure to the nearest whole pound" sqref="B4">
      <formula1>-1000000</formula1>
      <formula2>10000000</formula2>
    </dataValidation>
  </dataValidations>
  <hyperlinks>
    <hyperlink ref="E4:G4" location="' Guidance Notes'!A69" display="Guidance Notes"/>
  </hyperlinks>
  <pageMargins left="0.19685039370078741" right="0.19685039370078741" top="0.59055118110236227" bottom="0.59055118110236227" header="0.19685039370078741" footer="0.19685039370078741"/>
  <pageSetup paperSize="9" scale="74" fitToHeight="4" orientation="landscape" blackAndWhite="1" r:id="rId1"/>
  <headerFooter alignWithMargins="0">
    <oddHeader>&amp;R&amp;F</oddHeader>
    <oddFooter>&amp;LFormat Prepared by the Schools Finance Team&amp;C&amp;P&amp;RPrinted &amp;T &amp;D</oddFooter>
  </headerFooter>
  <rowBreaks count="1" manualBreakCount="1">
    <brk id="51" max="1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J145"/>
  <sheetViews>
    <sheetView zoomScaleNormal="100" workbookViewId="0">
      <pane ySplit="6" topLeftCell="A7" activePane="bottomLeft" state="frozen"/>
      <selection activeCell="F27" sqref="F27"/>
      <selection pane="bottomLeft" activeCell="B8" sqref="B8"/>
    </sheetView>
  </sheetViews>
  <sheetFormatPr defaultColWidth="9.140625" defaultRowHeight="12.75" x14ac:dyDescent="0.2"/>
  <cols>
    <col min="1" max="1" width="43" style="360" customWidth="1"/>
    <col min="2" max="4" width="11.42578125" style="360" customWidth="1"/>
    <col min="5" max="5" width="2.140625" style="360" customWidth="1"/>
    <col min="6" max="6" width="11.42578125" style="360" customWidth="1"/>
    <col min="7" max="7" width="45.28515625" style="360" customWidth="1"/>
    <col min="8" max="16384" width="9.140625" style="360"/>
  </cols>
  <sheetData>
    <row r="1" spans="1:10" ht="21" customHeight="1" x14ac:dyDescent="0.2">
      <c r="A1" s="1233" t="str">
        <f>Summary!A1</f>
        <v>Matching Green CE P</v>
      </c>
      <c r="B1" s="1234"/>
      <c r="C1" s="1234"/>
      <c r="D1" s="1234"/>
      <c r="E1" s="1234"/>
      <c r="F1" s="1234"/>
      <c r="G1" s="1235"/>
      <c r="H1" s="359"/>
    </row>
    <row r="2" spans="1:10" ht="25.5" customHeight="1" x14ac:dyDescent="0.25">
      <c r="A2" s="1295" t="str">
        <f>"Comparison with "&amp;'Fin.Yr Lookups'!A16</f>
        <v>Comparison with 2019-20</v>
      </c>
      <c r="B2" s="1295"/>
      <c r="C2" s="1295"/>
      <c r="D2" s="1295"/>
      <c r="E2" s="1295"/>
      <c r="F2" s="1296" t="s">
        <v>779</v>
      </c>
      <c r="G2" s="385"/>
      <c r="H2" s="361"/>
      <c r="I2" s="361"/>
      <c r="J2" s="361"/>
    </row>
    <row r="3" spans="1:10" ht="6.75" customHeight="1" x14ac:dyDescent="0.2">
      <c r="A3" s="362"/>
      <c r="B3" s="362"/>
      <c r="C3" s="362"/>
      <c r="D3" s="362"/>
      <c r="E3" s="362"/>
      <c r="F3" s="1297"/>
    </row>
    <row r="4" spans="1:10" ht="5.25" customHeight="1" thickBot="1" x14ac:dyDescent="0.25"/>
    <row r="5" spans="1:10" ht="15" customHeight="1" x14ac:dyDescent="0.2">
      <c r="A5" s="1288" t="s">
        <v>791</v>
      </c>
      <c r="B5" s="1290" t="str">
        <f>'Fin.Yr Lookups'!A16</f>
        <v>2019-20</v>
      </c>
      <c r="C5" s="1291"/>
      <c r="D5" s="1292"/>
      <c r="E5" s="363"/>
      <c r="F5" s="563" t="str">
        <f>'Fin.Yr Lookups'!A5</f>
        <v>2020-21</v>
      </c>
      <c r="G5" s="1293" t="s">
        <v>794</v>
      </c>
    </row>
    <row r="6" spans="1:10" ht="15" customHeight="1" thickBot="1" x14ac:dyDescent="0.25">
      <c r="A6" s="1289"/>
      <c r="B6" s="369" t="s">
        <v>795</v>
      </c>
      <c r="C6" s="369" t="s">
        <v>796</v>
      </c>
      <c r="D6" s="370" t="s">
        <v>797</v>
      </c>
      <c r="E6" s="363"/>
      <c r="F6" s="371" t="s">
        <v>795</v>
      </c>
      <c r="G6" s="1294"/>
    </row>
    <row r="7" spans="1:10" ht="16.5" thickBot="1" x14ac:dyDescent="0.3">
      <c r="A7" s="1281" t="s">
        <v>683</v>
      </c>
      <c r="B7" s="1282"/>
      <c r="C7" s="1282"/>
      <c r="D7" s="1283"/>
      <c r="E7" s="364"/>
      <c r="F7" s="1284"/>
      <c r="G7" s="1285"/>
    </row>
    <row r="8" spans="1:10" x14ac:dyDescent="0.2">
      <c r="A8" s="374" t="str">
        <f>IF(Income!A19="Other: Please enter description","Not in use",Income!A19)</f>
        <v>Section 251 Schools Block (excluding PFI)</v>
      </c>
      <c r="B8" s="638"/>
      <c r="C8" s="400"/>
      <c r="D8" s="373" t="str">
        <f>IF(ISERROR(C8/B8),"",C8/B8)</f>
        <v/>
      </c>
      <c r="F8" s="375">
        <f>Income!D19</f>
        <v>407934</v>
      </c>
      <c r="G8" s="402"/>
    </row>
    <row r="9" spans="1:10" x14ac:dyDescent="0.2">
      <c r="A9" s="374" t="str">
        <f>IF(Income!A20="Other: Please enter description","Not in use",Income!A20)</f>
        <v>Section 251: De-delegated funding (excl. ESG)</v>
      </c>
      <c r="B9" s="401"/>
      <c r="C9" s="401"/>
      <c r="D9" s="373" t="str">
        <f t="shared" ref="D9:D52" si="0">IF(ISERROR(C9/B9),"",C9/B9)</f>
        <v/>
      </c>
      <c r="F9" s="375">
        <f>Income!D20</f>
        <v>198</v>
      </c>
      <c r="G9" s="970"/>
    </row>
    <row r="10" spans="1:10" x14ac:dyDescent="0.2">
      <c r="A10" s="374" t="str">
        <f>IF(Income!A21="Other: Please enter description","Not in use",Income!A21)</f>
        <v>Section 251 Schools Block - PFI Funding</v>
      </c>
      <c r="B10" s="401"/>
      <c r="C10" s="401"/>
      <c r="D10" s="373" t="str">
        <f t="shared" si="0"/>
        <v/>
      </c>
      <c r="F10" s="375">
        <f>Income!D21</f>
        <v>0</v>
      </c>
      <c r="G10" s="403"/>
    </row>
    <row r="11" spans="1:10" x14ac:dyDescent="0.2">
      <c r="A11" s="374" t="str">
        <f>IF(Income!A22="Other: Please enter description","Not in use",Income!A22)</f>
        <v>High Needs: SEND &amp; EHCP Funding</v>
      </c>
      <c r="B11" s="401"/>
      <c r="C11" s="401"/>
      <c r="D11" s="373" t="str">
        <f t="shared" si="0"/>
        <v/>
      </c>
      <c r="F11" s="375">
        <f>Income!D22</f>
        <v>0</v>
      </c>
      <c r="G11" s="403"/>
    </row>
    <row r="12" spans="1:10" x14ac:dyDescent="0.2">
      <c r="A12" s="374" t="str">
        <f>IF(Income!A23="Other: Please enter description","Not in use",Income!A23)</f>
        <v>High Needs: Special Provision Funding</v>
      </c>
      <c r="B12" s="401"/>
      <c r="C12" s="401"/>
      <c r="D12" s="373" t="str">
        <f t="shared" si="0"/>
        <v/>
      </c>
      <c r="F12" s="375">
        <f>Income!D23</f>
        <v>0</v>
      </c>
      <c r="G12" s="403"/>
    </row>
    <row r="13" spans="1:10" x14ac:dyDescent="0.2">
      <c r="A13" s="374" t="str">
        <f>IF(Income!A24="Other: Please enter description","Not in use",Income!A24)</f>
        <v>Early Years Block Funding</v>
      </c>
      <c r="B13" s="401"/>
      <c r="C13" s="401"/>
      <c r="D13" s="373" t="str">
        <f t="shared" si="0"/>
        <v/>
      </c>
      <c r="F13" s="375">
        <f>Income!D24</f>
        <v>0</v>
      </c>
      <c r="G13" s="403"/>
    </row>
    <row r="14" spans="1:10" x14ac:dyDescent="0.2">
      <c r="A14" s="374" t="str">
        <f>IF(Income!A25="Other: Please enter description","Not in use",Income!A25)</f>
        <v>Pupil Premium Funding</v>
      </c>
      <c r="B14" s="401"/>
      <c r="C14" s="401"/>
      <c r="D14" s="373" t="str">
        <f t="shared" si="0"/>
        <v/>
      </c>
      <c r="F14" s="375">
        <f>Income!D25</f>
        <v>10760</v>
      </c>
      <c r="G14" s="403"/>
    </row>
    <row r="15" spans="1:10" x14ac:dyDescent="0.2">
      <c r="A15" s="374" t="str">
        <f>IF(Income!A26="Other: Please enter description","Not in use",Income!A26)</f>
        <v>KS1 Class Size Funding</v>
      </c>
      <c r="B15" s="401"/>
      <c r="C15" s="401"/>
      <c r="D15" s="373" t="str">
        <f t="shared" si="0"/>
        <v/>
      </c>
      <c r="F15" s="375">
        <f>Income!D26</f>
        <v>9157</v>
      </c>
      <c r="G15" s="403"/>
    </row>
    <row r="16" spans="1:10" x14ac:dyDescent="0.2">
      <c r="A16" s="374" t="str">
        <f>IF(Income!A27="Other: Please enter description","Not in use",Income!A27)</f>
        <v>Universal Infant Free School Meal Funding (UIFSM)</v>
      </c>
      <c r="B16" s="401"/>
      <c r="C16" s="401"/>
      <c r="D16" s="373" t="str">
        <f t="shared" si="0"/>
        <v/>
      </c>
      <c r="F16" s="375">
        <f>Income!D27</f>
        <v>13419</v>
      </c>
      <c r="G16" s="403"/>
    </row>
    <row r="17" spans="1:7" x14ac:dyDescent="0.2">
      <c r="A17" s="374" t="str">
        <f>IF(Income!A28="Other: Please enter description","Not in use",Income!A28)</f>
        <v>Sports Grant Funding</v>
      </c>
      <c r="B17" s="401"/>
      <c r="C17" s="401"/>
      <c r="D17" s="373" t="str">
        <f t="shared" si="0"/>
        <v/>
      </c>
      <c r="F17" s="375">
        <f>Income!D28</f>
        <v>16730</v>
      </c>
      <c r="G17" s="403"/>
    </row>
    <row r="18" spans="1:7" x14ac:dyDescent="0.2">
      <c r="A18" s="374" t="str">
        <f>IF(Income!A29="Other: Please enter description","Not in use",Income!A29)</f>
        <v>Teachers Pay Grant</v>
      </c>
      <c r="B18" s="401"/>
      <c r="C18" s="401"/>
      <c r="D18" s="373" t="str">
        <f t="shared" si="0"/>
        <v/>
      </c>
      <c r="F18" s="375">
        <f>Income!D29</f>
        <v>4846</v>
      </c>
      <c r="G18" s="403"/>
    </row>
    <row r="19" spans="1:7" x14ac:dyDescent="0.2">
      <c r="A19" s="374" t="str">
        <f>IF(Income!A30="Other: Please enter description","Not in use",Income!A30)</f>
        <v>Teachers Pension Grant</v>
      </c>
      <c r="B19" s="401"/>
      <c r="C19" s="401"/>
      <c r="D19" s="373" t="str">
        <f t="shared" si="0"/>
        <v/>
      </c>
      <c r="F19" s="375">
        <f>Income!D30</f>
        <v>13689</v>
      </c>
      <c r="G19" s="403"/>
    </row>
    <row r="20" spans="1:7" x14ac:dyDescent="0.2">
      <c r="A20" s="374" t="str">
        <f>IF(Income!A31="Other: Please enter description","Not in use",Income!A31)</f>
        <v>Not in use</v>
      </c>
      <c r="B20" s="401"/>
      <c r="C20" s="401"/>
      <c r="D20" s="373" t="str">
        <f t="shared" si="0"/>
        <v/>
      </c>
      <c r="F20" s="375">
        <f>Income!D31</f>
        <v>0</v>
      </c>
      <c r="G20" s="403"/>
    </row>
    <row r="21" spans="1:7" x14ac:dyDescent="0.2">
      <c r="A21" s="374" t="str">
        <f>IF(Income!A32="Other: Please enter description","Not in use",Income!A32)</f>
        <v>Not in use</v>
      </c>
      <c r="B21" s="401"/>
      <c r="C21" s="401"/>
      <c r="D21" s="373" t="str">
        <f t="shared" si="0"/>
        <v/>
      </c>
      <c r="F21" s="375">
        <f>Income!D32</f>
        <v>0</v>
      </c>
      <c r="G21" s="403"/>
    </row>
    <row r="22" spans="1:7" x14ac:dyDescent="0.2">
      <c r="A22" s="374" t="str">
        <f>IF(Income!A33="Other: Please enter description","Not in use",Income!A33)</f>
        <v>Not in use</v>
      </c>
      <c r="B22" s="401"/>
      <c r="C22" s="401"/>
      <c r="D22" s="373" t="str">
        <f t="shared" si="0"/>
        <v/>
      </c>
      <c r="F22" s="375">
        <f>Income!D33</f>
        <v>0</v>
      </c>
      <c r="G22" s="403"/>
    </row>
    <row r="23" spans="1:7" x14ac:dyDescent="0.2">
      <c r="A23" s="374" t="str">
        <f>IF(Income!A34="Other: Please enter description","Not in use",Income!A34)</f>
        <v>Not in use</v>
      </c>
      <c r="B23" s="401"/>
      <c r="C23" s="401"/>
      <c r="D23" s="373" t="str">
        <f t="shared" si="0"/>
        <v/>
      </c>
      <c r="F23" s="375">
        <f>Income!D34</f>
        <v>0</v>
      </c>
      <c r="G23" s="403"/>
    </row>
    <row r="24" spans="1:7" x14ac:dyDescent="0.2">
      <c r="A24" s="374" t="str">
        <f>IF(Income!A35="Other: Please enter description","Not in use",Income!A35)</f>
        <v>Not in use</v>
      </c>
      <c r="B24" s="401"/>
      <c r="C24" s="401"/>
      <c r="D24" s="373" t="str">
        <f t="shared" si="0"/>
        <v/>
      </c>
      <c r="F24" s="375">
        <f>Income!D35</f>
        <v>0</v>
      </c>
      <c r="G24" s="403"/>
    </row>
    <row r="25" spans="1:7" x14ac:dyDescent="0.2">
      <c r="A25" s="374" t="str">
        <f>IF(Income!A36="Other: Please enter description","Not in use",Income!A36)</f>
        <v>Not in use</v>
      </c>
      <c r="B25" s="401"/>
      <c r="C25" s="401"/>
      <c r="D25" s="373" t="str">
        <f t="shared" si="0"/>
        <v/>
      </c>
      <c r="F25" s="375">
        <f>Income!D36</f>
        <v>0</v>
      </c>
      <c r="G25" s="403"/>
    </row>
    <row r="26" spans="1:7" x14ac:dyDescent="0.2">
      <c r="A26" s="374" t="str">
        <f>IF(Income!A37="Other: Please enter description","Not in use",Income!A37)</f>
        <v>Not in use</v>
      </c>
      <c r="B26" s="401"/>
      <c r="C26" s="401"/>
      <c r="D26" s="373" t="str">
        <f t="shared" si="0"/>
        <v/>
      </c>
      <c r="F26" s="375">
        <f>Income!D37</f>
        <v>0</v>
      </c>
      <c r="G26" s="403"/>
    </row>
    <row r="27" spans="1:7" x14ac:dyDescent="0.2">
      <c r="A27" s="374" t="str">
        <f>IF(Income!A38="Other: Please enter description","Not in use",Income!A38)</f>
        <v>Not in use</v>
      </c>
      <c r="B27" s="401"/>
      <c r="C27" s="401"/>
      <c r="D27" s="373" t="str">
        <f t="shared" si="0"/>
        <v/>
      </c>
      <c r="F27" s="375">
        <f>Income!D38</f>
        <v>0</v>
      </c>
      <c r="G27" s="403"/>
    </row>
    <row r="28" spans="1:7" x14ac:dyDescent="0.2">
      <c r="A28" s="374" t="str">
        <f>IF(Income!A39="Other: Please enter description","Not in use",Income!A39)</f>
        <v>Not in use</v>
      </c>
      <c r="B28" s="401"/>
      <c r="C28" s="401"/>
      <c r="D28" s="373" t="str">
        <f t="shared" si="0"/>
        <v/>
      </c>
      <c r="F28" s="375">
        <f>Income!D39</f>
        <v>0</v>
      </c>
      <c r="G28" s="403"/>
    </row>
    <row r="29" spans="1:7" x14ac:dyDescent="0.2">
      <c r="A29" s="374" t="str">
        <f>IF(Income!A40="Other: Please enter description","Not in use",Income!A40)</f>
        <v>Not in use</v>
      </c>
      <c r="B29" s="401"/>
      <c r="C29" s="401"/>
      <c r="D29" s="373" t="str">
        <f t="shared" si="0"/>
        <v/>
      </c>
      <c r="F29" s="375">
        <f>Income!D40</f>
        <v>0</v>
      </c>
      <c r="G29" s="403"/>
    </row>
    <row r="30" spans="1:7" x14ac:dyDescent="0.2">
      <c r="A30" s="374" t="str">
        <f>IF(Income!A41="Other: Please enter description","Not in use",Income!A41)</f>
        <v>Not in use</v>
      </c>
      <c r="B30" s="401"/>
      <c r="C30" s="401"/>
      <c r="D30" s="373" t="str">
        <f t="shared" si="0"/>
        <v/>
      </c>
      <c r="F30" s="375">
        <f>Income!D41</f>
        <v>0</v>
      </c>
      <c r="G30" s="403"/>
    </row>
    <row r="31" spans="1:7" x14ac:dyDescent="0.2">
      <c r="A31" s="374" t="str">
        <f>IF(Income!A42="Other: Please enter description","Not in use",Income!A42)</f>
        <v>Not in use</v>
      </c>
      <c r="B31" s="401"/>
      <c r="C31" s="401"/>
      <c r="D31" s="373" t="str">
        <f t="shared" si="0"/>
        <v/>
      </c>
      <c r="F31" s="375">
        <f>Income!D42</f>
        <v>0</v>
      </c>
      <c r="G31" s="403"/>
    </row>
    <row r="32" spans="1:7" ht="13.5" thickBot="1" x14ac:dyDescent="0.25">
      <c r="A32" s="374" t="str">
        <f>IF(Income!A43="Other: Please enter description","Not in use",Income!A43)</f>
        <v>Not in use</v>
      </c>
      <c r="B32" s="401"/>
      <c r="C32" s="401"/>
      <c r="D32" s="373" t="str">
        <f t="shared" si="0"/>
        <v/>
      </c>
      <c r="F32" s="375">
        <f>Income!D43</f>
        <v>0</v>
      </c>
      <c r="G32" s="404"/>
    </row>
    <row r="33" spans="1:7" ht="16.5" thickBot="1" x14ac:dyDescent="0.3">
      <c r="A33" s="1281" t="s">
        <v>685</v>
      </c>
      <c r="B33" s="1282"/>
      <c r="C33" s="1282"/>
      <c r="D33" s="1283"/>
      <c r="E33" s="365"/>
      <c r="F33" s="1286"/>
      <c r="G33" s="1287"/>
    </row>
    <row r="34" spans="1:7" x14ac:dyDescent="0.2">
      <c r="A34" s="378" t="str">
        <f>IF(Income!A47="Other: Please enter description","Not in use",Income!A47)</f>
        <v>Rent &amp; Lettings</v>
      </c>
      <c r="B34" s="405"/>
      <c r="C34" s="405"/>
      <c r="D34" s="941" t="str">
        <f t="shared" si="0"/>
        <v/>
      </c>
      <c r="E34" s="366"/>
      <c r="F34" s="383">
        <f>Income!D47</f>
        <v>0</v>
      </c>
      <c r="G34" s="406"/>
    </row>
    <row r="35" spans="1:7" x14ac:dyDescent="0.2">
      <c r="A35" s="379" t="str">
        <f>IF(Income!A48="Other: Please enter description","Not in use",Income!A48)</f>
        <v>Other Income</v>
      </c>
      <c r="B35" s="401"/>
      <c r="C35" s="401"/>
      <c r="D35" s="373" t="str">
        <f t="shared" si="0"/>
        <v/>
      </c>
      <c r="E35" s="366"/>
      <c r="F35" s="376">
        <f>Income!D48</f>
        <v>0</v>
      </c>
      <c r="G35" s="403"/>
    </row>
    <row r="36" spans="1:7" x14ac:dyDescent="0.2">
      <c r="A36" s="379" t="str">
        <f>IF(Income!A49="Other: Please enter description","Not in use",Income!A49)</f>
        <v>Catering Income</v>
      </c>
      <c r="B36" s="401"/>
      <c r="C36" s="401"/>
      <c r="D36" s="373" t="str">
        <f t="shared" si="0"/>
        <v/>
      </c>
      <c r="E36" s="366"/>
      <c r="F36" s="376">
        <f>Income!D49</f>
        <v>8580</v>
      </c>
      <c r="G36" s="403"/>
    </row>
    <row r="37" spans="1:7" x14ac:dyDescent="0.2">
      <c r="A37" s="379" t="str">
        <f>IF(Income!A50="Other: Please enter description","Not in use",Income!A50)</f>
        <v>Swimming Income</v>
      </c>
      <c r="B37" s="401"/>
      <c r="C37" s="401"/>
      <c r="D37" s="373" t="str">
        <f t="shared" si="0"/>
        <v/>
      </c>
      <c r="E37" s="366"/>
      <c r="F37" s="376">
        <f>Income!D50</f>
        <v>920</v>
      </c>
      <c r="G37" s="403"/>
    </row>
    <row r="38" spans="1:7" x14ac:dyDescent="0.2">
      <c r="A38" s="379" t="str">
        <f>IF(Income!A51="Other: Please enter description","Not in use",Income!A51)</f>
        <v>School Club Income</v>
      </c>
      <c r="B38" s="401"/>
      <c r="C38" s="401"/>
      <c r="D38" s="373" t="str">
        <f t="shared" si="0"/>
        <v/>
      </c>
      <c r="E38" s="366"/>
      <c r="F38" s="376">
        <f>Income!D51</f>
        <v>600</v>
      </c>
      <c r="G38" s="403"/>
    </row>
    <row r="39" spans="1:7" x14ac:dyDescent="0.2">
      <c r="A39" s="379" t="str">
        <f>IF(Income!A52="Other: Please enter description","Not in use",Income!A52)</f>
        <v>Breakfast Club Income</v>
      </c>
      <c r="B39" s="401"/>
      <c r="C39" s="401"/>
      <c r="D39" s="373" t="str">
        <f t="shared" si="0"/>
        <v/>
      </c>
      <c r="E39" s="366"/>
      <c r="F39" s="376">
        <f>Income!D52</f>
        <v>3048</v>
      </c>
      <c r="G39" s="403"/>
    </row>
    <row r="40" spans="1:7" x14ac:dyDescent="0.2">
      <c r="A40" s="379" t="str">
        <f>IF(Income!A53="Other: Please enter description","Not in use",Income!A53)</f>
        <v>SAS Maternity Insurance</v>
      </c>
      <c r="B40" s="401"/>
      <c r="C40" s="401"/>
      <c r="D40" s="373" t="str">
        <f t="shared" si="0"/>
        <v/>
      </c>
      <c r="E40" s="366"/>
      <c r="F40" s="376">
        <f>Income!D53</f>
        <v>4480</v>
      </c>
      <c r="G40" s="403"/>
    </row>
    <row r="41" spans="1:7" x14ac:dyDescent="0.2">
      <c r="A41" s="379">
        <f>IF(Income!A54="Other: Please enter description","Not in use",Income!A54)</f>
        <v>0</v>
      </c>
      <c r="B41" s="401"/>
      <c r="C41" s="401"/>
      <c r="D41" s="373" t="str">
        <f t="shared" si="0"/>
        <v/>
      </c>
      <c r="E41" s="366"/>
      <c r="F41" s="376">
        <f>Income!D54</f>
        <v>0</v>
      </c>
      <c r="G41" s="403"/>
    </row>
    <row r="42" spans="1:7" x14ac:dyDescent="0.2">
      <c r="A42" s="379" t="str">
        <f>IF(Income!A55="Other: Please enter description","Not in use",Income!A55)</f>
        <v>Not in use</v>
      </c>
      <c r="B42" s="401"/>
      <c r="C42" s="401"/>
      <c r="D42" s="373" t="str">
        <f t="shared" si="0"/>
        <v/>
      </c>
      <c r="E42" s="366"/>
      <c r="F42" s="376">
        <f>Income!D55</f>
        <v>0</v>
      </c>
      <c r="G42" s="403"/>
    </row>
    <row r="43" spans="1:7" x14ac:dyDescent="0.2">
      <c r="A43" s="379" t="str">
        <f>IF(Income!A56="Other: Please enter description","Not in use",Income!A56)</f>
        <v>Not in use</v>
      </c>
      <c r="B43" s="401"/>
      <c r="C43" s="401"/>
      <c r="D43" s="373" t="str">
        <f t="shared" si="0"/>
        <v/>
      </c>
      <c r="E43" s="366"/>
      <c r="F43" s="376">
        <f>Income!D56</f>
        <v>0</v>
      </c>
      <c r="G43" s="403"/>
    </row>
    <row r="44" spans="1:7" x14ac:dyDescent="0.2">
      <c r="A44" s="379" t="str">
        <f>IF(Income!A57="Other: Please enter description","Not in use",Income!A57)</f>
        <v>Not in use</v>
      </c>
      <c r="B44" s="401"/>
      <c r="C44" s="401"/>
      <c r="D44" s="373" t="str">
        <f t="shared" si="0"/>
        <v/>
      </c>
      <c r="E44" s="366"/>
      <c r="F44" s="376">
        <f>Income!D57</f>
        <v>0</v>
      </c>
      <c r="G44" s="403"/>
    </row>
    <row r="45" spans="1:7" x14ac:dyDescent="0.2">
      <c r="A45" s="379" t="str">
        <f>IF(Income!A58="Other: Please enter description","Not in use",Income!A58)</f>
        <v>Not in use</v>
      </c>
      <c r="B45" s="401"/>
      <c r="C45" s="401"/>
      <c r="D45" s="373" t="str">
        <f t="shared" si="0"/>
        <v/>
      </c>
      <c r="E45" s="366"/>
      <c r="F45" s="376">
        <f>Income!D58</f>
        <v>0</v>
      </c>
      <c r="G45" s="403"/>
    </row>
    <row r="46" spans="1:7" x14ac:dyDescent="0.2">
      <c r="A46" s="379" t="str">
        <f>IF(Income!A59="Other: Please enter description","Not in use",Income!A59)</f>
        <v>Not in use</v>
      </c>
      <c r="B46" s="401"/>
      <c r="C46" s="401"/>
      <c r="D46" s="373" t="str">
        <f t="shared" si="0"/>
        <v/>
      </c>
      <c r="E46" s="366"/>
      <c r="F46" s="376">
        <f>Income!D59</f>
        <v>0</v>
      </c>
      <c r="G46" s="403"/>
    </row>
    <row r="47" spans="1:7" x14ac:dyDescent="0.2">
      <c r="A47" s="379" t="str">
        <f>IF(Income!A60="Other: Please enter description","Not in use",Income!A60)</f>
        <v>Not in use</v>
      </c>
      <c r="B47" s="401"/>
      <c r="C47" s="401"/>
      <c r="D47" s="373" t="str">
        <f t="shared" si="0"/>
        <v/>
      </c>
      <c r="E47" s="366"/>
      <c r="F47" s="376">
        <f>Income!D60</f>
        <v>0</v>
      </c>
      <c r="G47" s="403"/>
    </row>
    <row r="48" spans="1:7" x14ac:dyDescent="0.2">
      <c r="A48" s="379" t="str">
        <f>IF(Income!A61="Other: Please enter description","Not in use",Income!A61)</f>
        <v>Not in use</v>
      </c>
      <c r="B48" s="401"/>
      <c r="C48" s="401"/>
      <c r="D48" s="373" t="str">
        <f t="shared" si="0"/>
        <v/>
      </c>
      <c r="F48" s="376">
        <f>Income!D61</f>
        <v>0</v>
      </c>
      <c r="G48" s="403"/>
    </row>
    <row r="49" spans="1:7" ht="6" customHeight="1" x14ac:dyDescent="0.2">
      <c r="A49" s="1273"/>
      <c r="B49" s="1274"/>
      <c r="C49" s="1274"/>
      <c r="D49" s="1275"/>
      <c r="F49" s="1276"/>
      <c r="G49" s="1277"/>
    </row>
    <row r="50" spans="1:7" x14ac:dyDescent="0.2">
      <c r="A50" s="380" t="s">
        <v>798</v>
      </c>
      <c r="B50" s="401"/>
      <c r="C50" s="367">
        <f>B50</f>
        <v>0</v>
      </c>
      <c r="D50" s="373" t="str">
        <f t="shared" si="0"/>
        <v/>
      </c>
      <c r="F50" s="376">
        <f>Income!E16</f>
        <v>62180</v>
      </c>
      <c r="G50" s="403"/>
    </row>
    <row r="51" spans="1:7" ht="6" customHeight="1" x14ac:dyDescent="0.2">
      <c r="A51" s="1278"/>
      <c r="B51" s="1279"/>
      <c r="C51" s="1279"/>
      <c r="D51" s="1280"/>
      <c r="E51" s="365"/>
      <c r="F51" s="1278"/>
      <c r="G51" s="1280"/>
    </row>
    <row r="52" spans="1:7" ht="13.5" thickBot="1" x14ac:dyDescent="0.25">
      <c r="A52" s="381" t="s">
        <v>799</v>
      </c>
      <c r="B52" s="382">
        <f>SUM(B8:B50)</f>
        <v>0</v>
      </c>
      <c r="C52" s="382">
        <f>SUM(C8:C50)</f>
        <v>0</v>
      </c>
      <c r="D52" s="942" t="str">
        <f t="shared" si="0"/>
        <v/>
      </c>
      <c r="E52" s="365"/>
      <c r="F52" s="381">
        <f>SUM(F8:F50)</f>
        <v>556541</v>
      </c>
      <c r="G52" s="404"/>
    </row>
    <row r="53" spans="1:7" ht="15" customHeight="1" thickBot="1" x14ac:dyDescent="0.25">
      <c r="A53" s="1245"/>
      <c r="B53" s="1245"/>
      <c r="C53" s="1245"/>
      <c r="D53" s="1245"/>
      <c r="E53" s="365"/>
      <c r="F53" s="1245"/>
      <c r="G53" s="1245"/>
    </row>
    <row r="54" spans="1:7" ht="15" customHeight="1" thickBot="1" x14ac:dyDescent="0.25">
      <c r="A54" s="1268" t="s">
        <v>532</v>
      </c>
      <c r="B54" s="1269"/>
      <c r="C54" s="1269"/>
      <c r="D54" s="1270"/>
      <c r="E54" s="372"/>
      <c r="F54" s="1271"/>
      <c r="G54" s="1272"/>
    </row>
    <row r="55" spans="1:7" x14ac:dyDescent="0.2">
      <c r="A55" s="379" t="str">
        <f>Summary!A60</f>
        <v>Teachers</v>
      </c>
      <c r="B55" s="401"/>
      <c r="C55" s="401"/>
      <c r="D55" s="373" t="str">
        <f t="shared" ref="D55:D118" si="1">IF(ISERROR(C55/B55),"",C55/B55)</f>
        <v/>
      </c>
      <c r="E55" s="366"/>
      <c r="F55" s="383">
        <f>Summary!B60</f>
        <v>266467</v>
      </c>
      <c r="G55" s="406"/>
    </row>
    <row r="56" spans="1:7" x14ac:dyDescent="0.2">
      <c r="A56" s="379" t="str">
        <f>Summary!A61</f>
        <v>Supply Staff</v>
      </c>
      <c r="B56" s="401"/>
      <c r="C56" s="401"/>
      <c r="D56" s="373" t="str">
        <f t="shared" si="1"/>
        <v/>
      </c>
      <c r="E56" s="366"/>
      <c r="F56" s="376">
        <f>Summary!B61</f>
        <v>3808</v>
      </c>
      <c r="G56" s="403"/>
    </row>
    <row r="57" spans="1:7" x14ac:dyDescent="0.2">
      <c r="A57" s="379" t="str">
        <f>Summary!A62</f>
        <v>Administrative Staff</v>
      </c>
      <c r="B57" s="401"/>
      <c r="C57" s="401"/>
      <c r="D57" s="373" t="str">
        <f t="shared" si="1"/>
        <v/>
      </c>
      <c r="E57" s="366"/>
      <c r="F57" s="376">
        <f>Summary!B62</f>
        <v>32930</v>
      </c>
      <c r="G57" s="403"/>
    </row>
    <row r="58" spans="1:7" x14ac:dyDescent="0.2">
      <c r="A58" s="379" t="str">
        <f>Summary!A63</f>
        <v>Nursery Nurses</v>
      </c>
      <c r="B58" s="401"/>
      <c r="C58" s="401"/>
      <c r="D58" s="373" t="str">
        <f t="shared" si="1"/>
        <v/>
      </c>
      <c r="E58" s="366"/>
      <c r="F58" s="376">
        <f>Summary!B63</f>
        <v>0</v>
      </c>
      <c r="G58" s="403"/>
    </row>
    <row r="59" spans="1:7" x14ac:dyDescent="0.2">
      <c r="A59" s="379" t="str">
        <f>Summary!A64</f>
        <v>Classroom Support</v>
      </c>
      <c r="B59" s="401"/>
      <c r="C59" s="401"/>
      <c r="D59" s="373" t="str">
        <f t="shared" si="1"/>
        <v/>
      </c>
      <c r="E59" s="366"/>
      <c r="F59" s="376">
        <f>Summary!B64</f>
        <v>53286</v>
      </c>
      <c r="G59" s="403"/>
    </row>
    <row r="60" spans="1:7" x14ac:dyDescent="0.2">
      <c r="A60" s="379" t="str">
        <f>Summary!A65</f>
        <v>SEN Welfare</v>
      </c>
      <c r="B60" s="401"/>
      <c r="C60" s="401"/>
      <c r="D60" s="373" t="str">
        <f t="shared" si="1"/>
        <v/>
      </c>
      <c r="E60" s="366"/>
      <c r="F60" s="376">
        <f>Summary!B65</f>
        <v>0</v>
      </c>
      <c r="G60" s="403"/>
    </row>
    <row r="61" spans="1:7" x14ac:dyDescent="0.2">
      <c r="A61" s="379" t="str">
        <f>Summary!A66</f>
        <v>Premises Staff</v>
      </c>
      <c r="B61" s="401"/>
      <c r="C61" s="401"/>
      <c r="D61" s="373" t="str">
        <f t="shared" si="1"/>
        <v/>
      </c>
      <c r="E61" s="366"/>
      <c r="F61" s="376">
        <f>Summary!B66</f>
        <v>14535</v>
      </c>
      <c r="G61" s="403"/>
    </row>
    <row r="62" spans="1:7" x14ac:dyDescent="0.2">
      <c r="A62" s="379" t="str">
        <f>Summary!A67</f>
        <v>Midday Supervision</v>
      </c>
      <c r="B62" s="401"/>
      <c r="C62" s="401"/>
      <c r="D62" s="373" t="str">
        <f t="shared" si="1"/>
        <v/>
      </c>
      <c r="E62" s="366"/>
      <c r="F62" s="376">
        <f>Summary!B67</f>
        <v>7538</v>
      </c>
      <c r="G62" s="403"/>
    </row>
    <row r="63" spans="1:7" x14ac:dyDescent="0.2">
      <c r="A63" s="379" t="str">
        <f>Summary!A68</f>
        <v>Catering Staff</v>
      </c>
      <c r="B63" s="401"/>
      <c r="C63" s="401"/>
      <c r="D63" s="373" t="str">
        <f t="shared" si="1"/>
        <v/>
      </c>
      <c r="E63" s="366"/>
      <c r="F63" s="376">
        <f>Summary!B68</f>
        <v>20702</v>
      </c>
      <c r="G63" s="403"/>
    </row>
    <row r="64" spans="1:7" x14ac:dyDescent="0.2">
      <c r="A64" s="379" t="str">
        <f>Summary!A69</f>
        <v>Community Extended Schools Staff</v>
      </c>
      <c r="B64" s="401"/>
      <c r="C64" s="401"/>
      <c r="D64" s="373" t="str">
        <f t="shared" si="1"/>
        <v/>
      </c>
      <c r="E64" s="366"/>
      <c r="F64" s="376">
        <f>Summary!B69</f>
        <v>0</v>
      </c>
      <c r="G64" s="403"/>
    </row>
    <row r="65" spans="1:7" x14ac:dyDescent="0.2">
      <c r="A65" s="379" t="str">
        <f>Summary!A70</f>
        <v>Staff Insurance Premiums</v>
      </c>
      <c r="B65" s="401"/>
      <c r="C65" s="401"/>
      <c r="D65" s="373" t="str">
        <f t="shared" si="1"/>
        <v/>
      </c>
      <c r="E65" s="366"/>
      <c r="F65" s="376">
        <f>Summary!B70</f>
        <v>8935</v>
      </c>
      <c r="G65" s="403"/>
    </row>
    <row r="66" spans="1:7" x14ac:dyDescent="0.2">
      <c r="A66" s="379" t="str">
        <f>Summary!A71</f>
        <v>Other Employees Expenses</v>
      </c>
      <c r="B66" s="401"/>
      <c r="C66" s="401"/>
      <c r="D66" s="373" t="str">
        <f t="shared" si="1"/>
        <v/>
      </c>
      <c r="E66" s="366"/>
      <c r="F66" s="376">
        <f>Summary!B71</f>
        <v>3749</v>
      </c>
      <c r="G66" s="403"/>
    </row>
    <row r="67" spans="1:7" x14ac:dyDescent="0.2">
      <c r="A67" s="379" t="str">
        <f>Summary!A72</f>
        <v>PE Instructor</v>
      </c>
      <c r="B67" s="401"/>
      <c r="C67" s="401"/>
      <c r="D67" s="373" t="str">
        <f t="shared" si="1"/>
        <v/>
      </c>
      <c r="E67" s="366"/>
      <c r="F67" s="376">
        <f>Summary!B72</f>
        <v>9008</v>
      </c>
      <c r="G67" s="403"/>
    </row>
    <row r="68" spans="1:7" x14ac:dyDescent="0.2">
      <c r="A68" s="379" t="str">
        <f>Summary!A73</f>
        <v>Breakfast Club Instructor</v>
      </c>
      <c r="B68" s="401"/>
      <c r="C68" s="401"/>
      <c r="D68" s="373" t="str">
        <f t="shared" si="1"/>
        <v/>
      </c>
      <c r="E68" s="366"/>
      <c r="F68" s="376">
        <f>Summary!B73</f>
        <v>4026</v>
      </c>
      <c r="G68" s="403"/>
    </row>
    <row r="69" spans="1:7" x14ac:dyDescent="0.2">
      <c r="A69" s="379" t="str">
        <f>Summary!A74</f>
        <v>Staffing: not in use</v>
      </c>
      <c r="B69" s="401"/>
      <c r="C69" s="401"/>
      <c r="D69" s="373" t="str">
        <f t="shared" si="1"/>
        <v/>
      </c>
      <c r="E69" s="366"/>
      <c r="F69" s="376">
        <f>Summary!B74</f>
        <v>0</v>
      </c>
      <c r="G69" s="403"/>
    </row>
    <row r="70" spans="1:7" x14ac:dyDescent="0.2">
      <c r="A70" s="379" t="str">
        <f>Summary!A75</f>
        <v>Staffing: not in use</v>
      </c>
      <c r="B70" s="401"/>
      <c r="C70" s="401"/>
      <c r="D70" s="373" t="str">
        <f t="shared" si="1"/>
        <v/>
      </c>
      <c r="E70" s="366"/>
      <c r="F70" s="376">
        <f>Summary!B75</f>
        <v>0</v>
      </c>
      <c r="G70" s="403"/>
    </row>
    <row r="71" spans="1:7" x14ac:dyDescent="0.2">
      <c r="A71" s="379" t="str">
        <f>Summary!A76</f>
        <v>Staffing: not in use</v>
      </c>
      <c r="B71" s="401"/>
      <c r="C71" s="401"/>
      <c r="D71" s="373" t="str">
        <f t="shared" si="1"/>
        <v/>
      </c>
      <c r="E71" s="366"/>
      <c r="F71" s="376">
        <f>Summary!B76</f>
        <v>0</v>
      </c>
      <c r="G71" s="403"/>
    </row>
    <row r="72" spans="1:7" x14ac:dyDescent="0.2">
      <c r="A72" s="379" t="str">
        <f>Summary!A77</f>
        <v>Staffing: not in use</v>
      </c>
      <c r="B72" s="401"/>
      <c r="C72" s="401"/>
      <c r="D72" s="373" t="str">
        <f t="shared" si="1"/>
        <v/>
      </c>
      <c r="E72" s="366"/>
      <c r="F72" s="376">
        <f>Summary!B77</f>
        <v>0</v>
      </c>
      <c r="G72" s="403"/>
    </row>
    <row r="73" spans="1:7" x14ac:dyDescent="0.2">
      <c r="A73" s="379" t="str">
        <f>Summary!A78</f>
        <v>Staffing: not in use</v>
      </c>
      <c r="B73" s="401"/>
      <c r="C73" s="401"/>
      <c r="D73" s="373" t="str">
        <f t="shared" si="1"/>
        <v/>
      </c>
      <c r="E73" s="366"/>
      <c r="F73" s="376">
        <f>Summary!B78</f>
        <v>0</v>
      </c>
      <c r="G73" s="403"/>
    </row>
    <row r="74" spans="1:7" x14ac:dyDescent="0.2">
      <c r="A74" s="379" t="str">
        <f>Summary!A79</f>
        <v>Staffing: not in use</v>
      </c>
      <c r="B74" s="401"/>
      <c r="C74" s="401"/>
      <c r="D74" s="373" t="str">
        <f t="shared" si="1"/>
        <v/>
      </c>
      <c r="E74" s="366"/>
      <c r="F74" s="376">
        <f>Summary!B79</f>
        <v>0</v>
      </c>
      <c r="G74" s="403"/>
    </row>
    <row r="75" spans="1:7" x14ac:dyDescent="0.2">
      <c r="A75" s="379" t="str">
        <f>Summary!A80</f>
        <v>Structural Maintenance Plan</v>
      </c>
      <c r="B75" s="401"/>
      <c r="C75" s="401"/>
      <c r="D75" s="373" t="str">
        <f t="shared" si="1"/>
        <v/>
      </c>
      <c r="E75" s="366"/>
      <c r="F75" s="376">
        <f>Summary!B80</f>
        <v>0</v>
      </c>
      <c r="G75" s="403"/>
    </row>
    <row r="76" spans="1:7" x14ac:dyDescent="0.2">
      <c r="A76" s="379" t="str">
        <f>Summary!A81</f>
        <v>Buildings - Upkeep</v>
      </c>
      <c r="B76" s="401"/>
      <c r="C76" s="401"/>
      <c r="D76" s="373" t="str">
        <f t="shared" si="1"/>
        <v/>
      </c>
      <c r="E76" s="366"/>
      <c r="F76" s="376">
        <f>Summary!B81</f>
        <v>6254</v>
      </c>
      <c r="G76" s="403"/>
    </row>
    <row r="77" spans="1:7" x14ac:dyDescent="0.2">
      <c r="A77" s="379" t="str">
        <f>Summary!A82</f>
        <v>Revenue Contributions to Capital Projects</v>
      </c>
      <c r="B77" s="401"/>
      <c r="C77" s="401"/>
      <c r="D77" s="373" t="str">
        <f t="shared" si="1"/>
        <v/>
      </c>
      <c r="E77" s="366"/>
      <c r="F77" s="376">
        <f>Summary!B82</f>
        <v>0</v>
      </c>
      <c r="G77" s="403"/>
    </row>
    <row r="78" spans="1:7" x14ac:dyDescent="0.2">
      <c r="A78" s="379" t="str">
        <f>Summary!A83</f>
        <v>Grounds - Upkeep</v>
      </c>
      <c r="B78" s="401"/>
      <c r="C78" s="401"/>
      <c r="D78" s="373" t="str">
        <f t="shared" si="1"/>
        <v/>
      </c>
      <c r="E78" s="366"/>
      <c r="F78" s="376">
        <f>Summary!B83</f>
        <v>2340</v>
      </c>
      <c r="G78" s="403"/>
    </row>
    <row r="79" spans="1:7" x14ac:dyDescent="0.2">
      <c r="A79" s="379" t="str">
        <f>Summary!A84</f>
        <v>Cleaning</v>
      </c>
      <c r="B79" s="401"/>
      <c r="C79" s="401"/>
      <c r="D79" s="373" t="str">
        <f t="shared" si="1"/>
        <v/>
      </c>
      <c r="E79" s="366"/>
      <c r="F79" s="376">
        <f>Summary!B84</f>
        <v>2437.1999999999998</v>
      </c>
      <c r="G79" s="403"/>
    </row>
    <row r="80" spans="1:7" x14ac:dyDescent="0.2">
      <c r="A80" s="379" t="str">
        <f>Summary!A85</f>
        <v>Fuel</v>
      </c>
      <c r="B80" s="401"/>
      <c r="C80" s="401"/>
      <c r="D80" s="373" t="str">
        <f t="shared" si="1"/>
        <v/>
      </c>
      <c r="E80" s="366"/>
      <c r="F80" s="376">
        <f>Summary!B85</f>
        <v>7827</v>
      </c>
      <c r="G80" s="403"/>
    </row>
    <row r="81" spans="1:7" x14ac:dyDescent="0.2">
      <c r="A81" s="379" t="str">
        <f>Summary!A86</f>
        <v>Water</v>
      </c>
      <c r="B81" s="401"/>
      <c r="C81" s="401"/>
      <c r="D81" s="373" t="str">
        <f t="shared" si="1"/>
        <v/>
      </c>
      <c r="E81" s="366"/>
      <c r="F81" s="376">
        <f>Summary!B86</f>
        <v>783</v>
      </c>
      <c r="G81" s="403"/>
    </row>
    <row r="82" spans="1:7" x14ac:dyDescent="0.2">
      <c r="A82" s="379" t="str">
        <f>Summary!A87</f>
        <v>Furniture</v>
      </c>
      <c r="B82" s="401"/>
      <c r="C82" s="401"/>
      <c r="D82" s="373" t="str">
        <f t="shared" si="1"/>
        <v/>
      </c>
      <c r="E82" s="366"/>
      <c r="F82" s="376">
        <f>Summary!B87</f>
        <v>0</v>
      </c>
      <c r="G82" s="403"/>
    </row>
    <row r="83" spans="1:7" x14ac:dyDescent="0.2">
      <c r="A83" s="379" t="str">
        <f>Summary!A88</f>
        <v>Rent and Rates</v>
      </c>
      <c r="B83" s="401"/>
      <c r="C83" s="401"/>
      <c r="D83" s="373" t="str">
        <f t="shared" si="1"/>
        <v/>
      </c>
      <c r="E83" s="366"/>
      <c r="F83" s="376">
        <f>Summary!B88</f>
        <v>9980</v>
      </c>
      <c r="G83" s="403"/>
    </row>
    <row r="84" spans="1:7" x14ac:dyDescent="0.2">
      <c r="A84" s="379" t="str">
        <f>Summary!A89</f>
        <v>Premises: not in use</v>
      </c>
      <c r="B84" s="401"/>
      <c r="C84" s="401"/>
      <c r="D84" s="373" t="str">
        <f t="shared" si="1"/>
        <v/>
      </c>
      <c r="E84" s="366"/>
      <c r="F84" s="376">
        <f>Summary!B89</f>
        <v>0</v>
      </c>
      <c r="G84" s="403"/>
    </row>
    <row r="85" spans="1:7" x14ac:dyDescent="0.2">
      <c r="A85" s="379" t="str">
        <f>Summary!A90</f>
        <v>Premises: not in use</v>
      </c>
      <c r="B85" s="401"/>
      <c r="C85" s="401"/>
      <c r="D85" s="373" t="str">
        <f t="shared" si="1"/>
        <v/>
      </c>
      <c r="E85" s="366"/>
      <c r="F85" s="376">
        <f>Summary!B90</f>
        <v>0</v>
      </c>
      <c r="G85" s="403"/>
    </row>
    <row r="86" spans="1:7" x14ac:dyDescent="0.2">
      <c r="A86" s="379" t="str">
        <f>Summary!A91</f>
        <v>Premises: not in use</v>
      </c>
      <c r="B86" s="401"/>
      <c r="C86" s="401"/>
      <c r="D86" s="373" t="str">
        <f t="shared" si="1"/>
        <v/>
      </c>
      <c r="E86" s="366"/>
      <c r="F86" s="376">
        <f>Summary!B91</f>
        <v>0</v>
      </c>
      <c r="G86" s="403"/>
    </row>
    <row r="87" spans="1:7" x14ac:dyDescent="0.2">
      <c r="A87" s="379" t="str">
        <f>Summary!A92</f>
        <v>Premises: not in use</v>
      </c>
      <c r="B87" s="401"/>
      <c r="C87" s="401"/>
      <c r="D87" s="373" t="str">
        <f t="shared" si="1"/>
        <v/>
      </c>
      <c r="E87" s="366"/>
      <c r="F87" s="376">
        <f>Summary!B92</f>
        <v>0</v>
      </c>
      <c r="G87" s="403"/>
    </row>
    <row r="88" spans="1:7" x14ac:dyDescent="0.2">
      <c r="A88" s="379" t="str">
        <f>Summary!A93</f>
        <v>Premises: not in use</v>
      </c>
      <c r="B88" s="401"/>
      <c r="C88" s="401"/>
      <c r="D88" s="373" t="str">
        <f t="shared" si="1"/>
        <v/>
      </c>
      <c r="E88" s="366"/>
      <c r="F88" s="376">
        <f>Summary!B93</f>
        <v>0</v>
      </c>
      <c r="G88" s="403"/>
    </row>
    <row r="89" spans="1:7" x14ac:dyDescent="0.2">
      <c r="A89" s="379" t="str">
        <f>Summary!A94</f>
        <v>Premises: not in use</v>
      </c>
      <c r="B89" s="401"/>
      <c r="C89" s="401"/>
      <c r="D89" s="373" t="str">
        <f t="shared" si="1"/>
        <v/>
      </c>
      <c r="E89" s="366"/>
      <c r="F89" s="376">
        <f>Summary!B94</f>
        <v>0</v>
      </c>
      <c r="G89" s="403"/>
    </row>
    <row r="90" spans="1:7" x14ac:dyDescent="0.2">
      <c r="A90" s="379" t="str">
        <f>Summary!A95</f>
        <v>Curriculum</v>
      </c>
      <c r="B90" s="401"/>
      <c r="C90" s="401"/>
      <c r="D90" s="373" t="str">
        <f t="shared" si="1"/>
        <v/>
      </c>
      <c r="E90" s="366"/>
      <c r="F90" s="376">
        <f>Summary!B95</f>
        <v>4264</v>
      </c>
      <c r="G90" s="403"/>
    </row>
    <row r="91" spans="1:7" x14ac:dyDescent="0.2">
      <c r="A91" s="379" t="str">
        <f>Summary!A96</f>
        <v>Fees Expenditure - Pupils</v>
      </c>
      <c r="B91" s="401"/>
      <c r="C91" s="401"/>
      <c r="D91" s="373" t="str">
        <f t="shared" si="1"/>
        <v/>
      </c>
      <c r="E91" s="366"/>
      <c r="F91" s="376">
        <f>Summary!B96</f>
        <v>0</v>
      </c>
      <c r="G91" s="403"/>
    </row>
    <row r="92" spans="1:7" x14ac:dyDescent="0.2">
      <c r="A92" s="379" t="str">
        <f>Summary!A97</f>
        <v>Swimming Expenditure</v>
      </c>
      <c r="B92" s="401"/>
      <c r="C92" s="401"/>
      <c r="D92" s="373" t="str">
        <f t="shared" si="1"/>
        <v/>
      </c>
      <c r="E92" s="366"/>
      <c r="F92" s="376">
        <f>Summary!B97</f>
        <v>960</v>
      </c>
      <c r="G92" s="403"/>
    </row>
    <row r="93" spans="1:7" x14ac:dyDescent="0.2">
      <c r="A93" s="379" t="str">
        <f>Summary!A98</f>
        <v>Curriculum: not in use</v>
      </c>
      <c r="B93" s="401"/>
      <c r="C93" s="401"/>
      <c r="D93" s="373" t="str">
        <f t="shared" si="1"/>
        <v/>
      </c>
      <c r="E93" s="366"/>
      <c r="F93" s="376">
        <f>Summary!B98</f>
        <v>0</v>
      </c>
      <c r="G93" s="403"/>
    </row>
    <row r="94" spans="1:7" x14ac:dyDescent="0.2">
      <c r="A94" s="379" t="str">
        <f>Summary!A99</f>
        <v>Curriculum: not in use</v>
      </c>
      <c r="B94" s="401"/>
      <c r="C94" s="401"/>
      <c r="D94" s="373" t="str">
        <f t="shared" si="1"/>
        <v/>
      </c>
      <c r="E94" s="366"/>
      <c r="F94" s="376">
        <f>Summary!B99</f>
        <v>0</v>
      </c>
      <c r="G94" s="403"/>
    </row>
    <row r="95" spans="1:7" x14ac:dyDescent="0.2">
      <c r="A95" s="379" t="str">
        <f>Summary!A100</f>
        <v>Curriculum: not in use</v>
      </c>
      <c r="B95" s="401"/>
      <c r="C95" s="401"/>
      <c r="D95" s="373" t="str">
        <f t="shared" si="1"/>
        <v/>
      </c>
      <c r="E95" s="366"/>
      <c r="F95" s="376">
        <f>Summary!B100</f>
        <v>0</v>
      </c>
      <c r="G95" s="403"/>
    </row>
    <row r="96" spans="1:7" x14ac:dyDescent="0.2">
      <c r="A96" s="379" t="str">
        <f>Summary!A101</f>
        <v>Curriculum: not in use</v>
      </c>
      <c r="B96" s="401"/>
      <c r="C96" s="401"/>
      <c r="D96" s="373" t="str">
        <f t="shared" si="1"/>
        <v/>
      </c>
      <c r="E96" s="366"/>
      <c r="F96" s="376">
        <f>Summary!B101</f>
        <v>0</v>
      </c>
      <c r="G96" s="403"/>
    </row>
    <row r="97" spans="1:7" x14ac:dyDescent="0.2">
      <c r="A97" s="379" t="str">
        <f>Summary!A102</f>
        <v>Curriculum: not in use</v>
      </c>
      <c r="B97" s="401"/>
      <c r="C97" s="401"/>
      <c r="D97" s="373" t="str">
        <f t="shared" si="1"/>
        <v/>
      </c>
      <c r="E97" s="366"/>
      <c r="F97" s="376">
        <f>Summary!B102</f>
        <v>0</v>
      </c>
      <c r="G97" s="403"/>
    </row>
    <row r="98" spans="1:7" x14ac:dyDescent="0.2">
      <c r="A98" s="379" t="str">
        <f>Summary!A103</f>
        <v>Curriculum: not in use</v>
      </c>
      <c r="B98" s="401"/>
      <c r="C98" s="401"/>
      <c r="D98" s="373" t="str">
        <f t="shared" si="1"/>
        <v/>
      </c>
      <c r="E98" s="366"/>
      <c r="F98" s="376">
        <f>Summary!B103</f>
        <v>0</v>
      </c>
      <c r="G98" s="403"/>
    </row>
    <row r="99" spans="1:7" x14ac:dyDescent="0.2">
      <c r="A99" s="379" t="str">
        <f>Summary!D60</f>
        <v>Curriculum: not in use</v>
      </c>
      <c r="B99" s="401"/>
      <c r="C99" s="401"/>
      <c r="D99" s="373" t="str">
        <f t="shared" si="1"/>
        <v/>
      </c>
      <c r="E99" s="366"/>
      <c r="F99" s="376">
        <f>Summary!E60</f>
        <v>0</v>
      </c>
      <c r="G99" s="403"/>
    </row>
    <row r="100" spans="1:7" x14ac:dyDescent="0.2">
      <c r="A100" s="379" t="str">
        <f>Summary!D61</f>
        <v>Staff Transport</v>
      </c>
      <c r="B100" s="401"/>
      <c r="C100" s="401"/>
      <c r="D100" s="373" t="str">
        <f t="shared" si="1"/>
        <v/>
      </c>
      <c r="E100" s="366"/>
      <c r="F100" s="376">
        <f>Summary!E61</f>
        <v>167</v>
      </c>
      <c r="G100" s="403"/>
    </row>
    <row r="101" spans="1:7" x14ac:dyDescent="0.2">
      <c r="A101" s="379" t="str">
        <f>Summary!D62</f>
        <v>Pupil Transport</v>
      </c>
      <c r="B101" s="401"/>
      <c r="C101" s="401"/>
      <c r="D101" s="373" t="str">
        <f t="shared" si="1"/>
        <v/>
      </c>
      <c r="E101" s="366"/>
      <c r="F101" s="376">
        <f>Summary!E62</f>
        <v>0</v>
      </c>
      <c r="G101" s="403"/>
    </row>
    <row r="102" spans="1:7" x14ac:dyDescent="0.2">
      <c r="A102" s="379" t="str">
        <f>Summary!D63</f>
        <v>Transport: not in use</v>
      </c>
      <c r="B102" s="401"/>
      <c r="C102" s="401"/>
      <c r="D102" s="373" t="str">
        <f t="shared" si="1"/>
        <v/>
      </c>
      <c r="E102" s="366"/>
      <c r="F102" s="376">
        <f>Summary!E63</f>
        <v>0</v>
      </c>
      <c r="G102" s="403"/>
    </row>
    <row r="103" spans="1:7" x14ac:dyDescent="0.2">
      <c r="A103" s="379" t="str">
        <f>Summary!D64</f>
        <v>Transport: not in use</v>
      </c>
      <c r="B103" s="401"/>
      <c r="C103" s="401"/>
      <c r="D103" s="373" t="str">
        <f t="shared" si="1"/>
        <v/>
      </c>
      <c r="E103" s="366"/>
      <c r="F103" s="376">
        <f>Summary!E64</f>
        <v>0</v>
      </c>
      <c r="G103" s="403"/>
    </row>
    <row r="104" spans="1:7" x14ac:dyDescent="0.2">
      <c r="A104" s="379" t="str">
        <f>Summary!D65</f>
        <v>Office Expenses</v>
      </c>
      <c r="B104" s="401"/>
      <c r="C104" s="401"/>
      <c r="D104" s="373" t="str">
        <f t="shared" si="1"/>
        <v/>
      </c>
      <c r="E104" s="366"/>
      <c r="F104" s="376">
        <f>Summary!E65</f>
        <v>865</v>
      </c>
      <c r="G104" s="403"/>
    </row>
    <row r="105" spans="1:7" x14ac:dyDescent="0.2">
      <c r="A105" s="379" t="str">
        <f>Summary!D66</f>
        <v>Telephones</v>
      </c>
      <c r="B105" s="401"/>
      <c r="C105" s="401"/>
      <c r="D105" s="373" t="str">
        <f t="shared" si="1"/>
        <v/>
      </c>
      <c r="E105" s="366"/>
      <c r="F105" s="376">
        <f>Summary!E66</f>
        <v>1246</v>
      </c>
      <c r="G105" s="403"/>
    </row>
    <row r="106" spans="1:7" x14ac:dyDescent="0.2">
      <c r="A106" s="379" t="str">
        <f>Summary!D67</f>
        <v>Reprographics</v>
      </c>
      <c r="B106" s="401"/>
      <c r="C106" s="401"/>
      <c r="D106" s="373" t="str">
        <f t="shared" si="1"/>
        <v/>
      </c>
      <c r="E106" s="366"/>
      <c r="F106" s="376">
        <f>Summary!E67</f>
        <v>2425</v>
      </c>
      <c r="G106" s="403"/>
    </row>
    <row r="107" spans="1:7" x14ac:dyDescent="0.2">
      <c r="A107" s="379" t="str">
        <f>Summary!D68</f>
        <v>Administrative: not in use</v>
      </c>
      <c r="B107" s="401"/>
      <c r="C107" s="401"/>
      <c r="D107" s="373" t="str">
        <f t="shared" si="1"/>
        <v/>
      </c>
      <c r="E107" s="366"/>
      <c r="F107" s="376">
        <f>Summary!E68</f>
        <v>0</v>
      </c>
      <c r="G107" s="403"/>
    </row>
    <row r="108" spans="1:7" x14ac:dyDescent="0.2">
      <c r="A108" s="379" t="str">
        <f>Summary!D69</f>
        <v>Administrative: not in use</v>
      </c>
      <c r="B108" s="401"/>
      <c r="C108" s="401"/>
      <c r="D108" s="373" t="str">
        <f t="shared" si="1"/>
        <v/>
      </c>
      <c r="E108" s="366"/>
      <c r="F108" s="376">
        <f>Summary!E69</f>
        <v>0</v>
      </c>
      <c r="G108" s="403"/>
    </row>
    <row r="109" spans="1:7" x14ac:dyDescent="0.2">
      <c r="A109" s="379" t="str">
        <f>Summary!D70</f>
        <v>Administrative: not in use</v>
      </c>
      <c r="B109" s="401"/>
      <c r="C109" s="401"/>
      <c r="D109" s="373" t="str">
        <f t="shared" si="1"/>
        <v/>
      </c>
      <c r="E109" s="366"/>
      <c r="F109" s="376">
        <f>Summary!E70</f>
        <v>0</v>
      </c>
      <c r="G109" s="403"/>
    </row>
    <row r="110" spans="1:7" x14ac:dyDescent="0.2">
      <c r="A110" s="379" t="str">
        <f>Summary!D71</f>
        <v>Administrative: not in use</v>
      </c>
      <c r="B110" s="401"/>
      <c r="C110" s="401"/>
      <c r="D110" s="373" t="str">
        <f t="shared" si="1"/>
        <v/>
      </c>
      <c r="E110" s="366"/>
      <c r="F110" s="376">
        <f>Summary!E71</f>
        <v>0</v>
      </c>
      <c r="G110" s="403"/>
    </row>
    <row r="111" spans="1:7" x14ac:dyDescent="0.2">
      <c r="A111" s="379" t="str">
        <f>Summary!D72</f>
        <v>Administrative: not in use</v>
      </c>
      <c r="B111" s="401"/>
      <c r="C111" s="401"/>
      <c r="D111" s="373" t="str">
        <f t="shared" si="1"/>
        <v/>
      </c>
      <c r="E111" s="366"/>
      <c r="F111" s="376">
        <f>Summary!E72</f>
        <v>0</v>
      </c>
      <c r="G111" s="403"/>
    </row>
    <row r="112" spans="1:7" x14ac:dyDescent="0.2">
      <c r="A112" s="379" t="str">
        <f>Summary!D73</f>
        <v>Administrative: not in use</v>
      </c>
      <c r="B112" s="401"/>
      <c r="C112" s="401"/>
      <c r="D112" s="373" t="str">
        <f t="shared" si="1"/>
        <v/>
      </c>
      <c r="E112" s="366"/>
      <c r="F112" s="376">
        <f>Summary!E73</f>
        <v>0</v>
      </c>
      <c r="G112" s="403"/>
    </row>
    <row r="113" spans="1:7" x14ac:dyDescent="0.2">
      <c r="A113" s="379" t="str">
        <f>Summary!D74</f>
        <v>Professional Fees Exp.</v>
      </c>
      <c r="B113" s="401"/>
      <c r="C113" s="401"/>
      <c r="D113" s="373" t="str">
        <f t="shared" si="1"/>
        <v/>
      </c>
      <c r="E113" s="366"/>
      <c r="F113" s="376">
        <f>Summary!E74</f>
        <v>23611</v>
      </c>
      <c r="G113" s="403"/>
    </row>
    <row r="114" spans="1:7" x14ac:dyDescent="0.2">
      <c r="A114" s="379" t="str">
        <f>Summary!D75</f>
        <v>Other Insurance Premiums</v>
      </c>
      <c r="B114" s="401"/>
      <c r="C114" s="401"/>
      <c r="D114" s="373" t="str">
        <f t="shared" si="1"/>
        <v/>
      </c>
      <c r="E114" s="366"/>
      <c r="F114" s="376">
        <f>Summary!E75</f>
        <v>2827</v>
      </c>
      <c r="G114" s="403"/>
    </row>
    <row r="115" spans="1:7" x14ac:dyDescent="0.2">
      <c r="A115" s="379" t="str">
        <f>Summary!D76</f>
        <v>Govs Expenses</v>
      </c>
      <c r="B115" s="401"/>
      <c r="C115" s="401"/>
      <c r="D115" s="373" t="str">
        <f t="shared" si="1"/>
        <v/>
      </c>
      <c r="E115" s="366"/>
      <c r="F115" s="376">
        <f>Summary!E76</f>
        <v>100</v>
      </c>
      <c r="G115" s="403"/>
    </row>
    <row r="116" spans="1:7" x14ac:dyDescent="0.2">
      <c r="A116" s="379" t="str">
        <f>Summary!D77</f>
        <v>Pupil Support</v>
      </c>
      <c r="B116" s="401"/>
      <c r="C116" s="401"/>
      <c r="D116" s="373" t="str">
        <f t="shared" si="1"/>
        <v/>
      </c>
      <c r="E116" s="366"/>
      <c r="F116" s="376">
        <f>Summary!E77</f>
        <v>2973</v>
      </c>
      <c r="G116" s="403"/>
    </row>
    <row r="117" spans="1:7" x14ac:dyDescent="0.2">
      <c r="A117" s="379" t="str">
        <f>Summary!D78</f>
        <v>Music Expenditure</v>
      </c>
      <c r="B117" s="401"/>
      <c r="C117" s="401"/>
      <c r="D117" s="373" t="str">
        <f t="shared" si="1"/>
        <v/>
      </c>
      <c r="E117" s="366"/>
      <c r="F117" s="376">
        <f>Summary!E78</f>
        <v>0</v>
      </c>
      <c r="G117" s="403"/>
    </row>
    <row r="118" spans="1:7" x14ac:dyDescent="0.2">
      <c r="A118" s="379" t="str">
        <f>Summary!D79</f>
        <v xml:space="preserve">Catering  </v>
      </c>
      <c r="B118" s="401"/>
      <c r="C118" s="401"/>
      <c r="D118" s="373" t="str">
        <f t="shared" si="1"/>
        <v/>
      </c>
      <c r="E118" s="366"/>
      <c r="F118" s="376">
        <f>Summary!E79</f>
        <v>7612</v>
      </c>
      <c r="G118" s="403"/>
    </row>
    <row r="119" spans="1:7" x14ac:dyDescent="0.2">
      <c r="A119" s="379" t="str">
        <f>Summary!D80</f>
        <v>De-delegated Funds (excl. ESG)</v>
      </c>
      <c r="B119" s="401"/>
      <c r="C119" s="401"/>
      <c r="D119" s="373" t="str">
        <f t="shared" ref="D119:D143" si="2">IF(ISERROR(C119/B119),"",C119/B119)</f>
        <v/>
      </c>
      <c r="E119" s="366"/>
      <c r="F119" s="376">
        <f>Summary!E80</f>
        <v>198</v>
      </c>
      <c r="G119" s="403"/>
    </row>
    <row r="120" spans="1:7" x14ac:dyDescent="0.2">
      <c r="A120" s="379" t="str">
        <f>Summary!D81</f>
        <v>Pupil Premium</v>
      </c>
      <c r="B120" s="401"/>
      <c r="C120" s="401"/>
      <c r="D120" s="373" t="str">
        <f t="shared" si="2"/>
        <v/>
      </c>
      <c r="E120" s="366"/>
      <c r="F120" s="376">
        <f>Summary!E81</f>
        <v>10760</v>
      </c>
      <c r="G120" s="403"/>
    </row>
    <row r="121" spans="1:7" x14ac:dyDescent="0.2">
      <c r="A121" s="379" t="str">
        <f>Summary!D82</f>
        <v>Pupil Premium C/F 19/20</v>
      </c>
      <c r="B121" s="401"/>
      <c r="C121" s="401"/>
      <c r="D121" s="373" t="str">
        <f t="shared" si="2"/>
        <v/>
      </c>
      <c r="E121" s="366"/>
      <c r="F121" s="376">
        <f>Summary!E82</f>
        <v>6216</v>
      </c>
      <c r="G121" s="403"/>
    </row>
    <row r="122" spans="1:7" x14ac:dyDescent="0.2">
      <c r="A122" s="379" t="str">
        <f>Summary!D83</f>
        <v>PE &amp; Sports Grant</v>
      </c>
      <c r="B122" s="401"/>
      <c r="C122" s="401"/>
      <c r="D122" s="373" t="str">
        <f t="shared" si="2"/>
        <v/>
      </c>
      <c r="E122" s="366"/>
      <c r="F122" s="376">
        <f>Summary!E83</f>
        <v>16730</v>
      </c>
      <c r="G122" s="403"/>
    </row>
    <row r="123" spans="1:7" x14ac:dyDescent="0.2">
      <c r="A123" s="379" t="str">
        <f>Summary!D84</f>
        <v>PE &amp; Sports Grant C/F 19/20</v>
      </c>
      <c r="B123" s="401"/>
      <c r="C123" s="401"/>
      <c r="D123" s="373" t="str">
        <f t="shared" si="2"/>
        <v/>
      </c>
      <c r="E123" s="366"/>
      <c r="F123" s="376">
        <f>Summary!E84</f>
        <v>9826</v>
      </c>
      <c r="G123" s="403"/>
    </row>
    <row r="124" spans="1:7" x14ac:dyDescent="0.2">
      <c r="A124" s="379" t="str">
        <f>Summary!D85</f>
        <v>Other costs: not in use</v>
      </c>
      <c r="B124" s="401"/>
      <c r="C124" s="401"/>
      <c r="D124" s="373" t="str">
        <f t="shared" si="2"/>
        <v/>
      </c>
      <c r="E124" s="366"/>
      <c r="F124" s="376">
        <f>Summary!E85</f>
        <v>0</v>
      </c>
      <c r="G124" s="403"/>
    </row>
    <row r="125" spans="1:7" x14ac:dyDescent="0.2">
      <c r="A125" s="379" t="str">
        <f>Summary!D86</f>
        <v>Other costs: not in use</v>
      </c>
      <c r="B125" s="401"/>
      <c r="C125" s="401"/>
      <c r="D125" s="373" t="str">
        <f t="shared" si="2"/>
        <v/>
      </c>
      <c r="E125" s="366"/>
      <c r="F125" s="376">
        <f>Summary!E86</f>
        <v>0</v>
      </c>
      <c r="G125" s="403"/>
    </row>
    <row r="126" spans="1:7" x14ac:dyDescent="0.2">
      <c r="A126" s="379" t="str">
        <f>Summary!D87</f>
        <v>Other costs: not in use</v>
      </c>
      <c r="B126" s="401"/>
      <c r="C126" s="401"/>
      <c r="D126" s="373" t="str">
        <f t="shared" si="2"/>
        <v/>
      </c>
      <c r="E126" s="366"/>
      <c r="F126" s="376">
        <f>Summary!E87</f>
        <v>0</v>
      </c>
      <c r="G126" s="403"/>
    </row>
    <row r="127" spans="1:7" x14ac:dyDescent="0.2">
      <c r="A127" s="379" t="str">
        <f>Summary!D88</f>
        <v>Other costs: not in use</v>
      </c>
      <c r="B127" s="401"/>
      <c r="C127" s="401"/>
      <c r="D127" s="373" t="str">
        <f t="shared" si="2"/>
        <v/>
      </c>
      <c r="E127" s="366"/>
      <c r="F127" s="376">
        <f>Summary!E88</f>
        <v>0</v>
      </c>
      <c r="G127" s="403"/>
    </row>
    <row r="128" spans="1:7" x14ac:dyDescent="0.2">
      <c r="A128" s="379" t="str">
        <f>Summary!D89</f>
        <v>Other costs: not in use</v>
      </c>
      <c r="B128" s="401"/>
      <c r="C128" s="401"/>
      <c r="D128" s="373" t="str">
        <f t="shared" si="2"/>
        <v/>
      </c>
      <c r="E128" s="366"/>
      <c r="F128" s="376">
        <f>Summary!E89</f>
        <v>0</v>
      </c>
      <c r="G128" s="403"/>
    </row>
    <row r="129" spans="1:7" x14ac:dyDescent="0.2">
      <c r="A129" s="379" t="str">
        <f>Summary!D90</f>
        <v>Other costs: not in use</v>
      </c>
      <c r="B129" s="401"/>
      <c r="C129" s="401"/>
      <c r="D129" s="373" t="str">
        <f t="shared" si="2"/>
        <v/>
      </c>
      <c r="E129" s="366"/>
      <c r="F129" s="376">
        <f>Summary!E90</f>
        <v>0</v>
      </c>
      <c r="G129" s="403"/>
    </row>
    <row r="130" spans="1:7" x14ac:dyDescent="0.2">
      <c r="A130" s="379" t="str">
        <f>Summary!D91</f>
        <v>Other costs: not in use</v>
      </c>
      <c r="B130" s="401"/>
      <c r="C130" s="401"/>
      <c r="D130" s="373" t="str">
        <f t="shared" si="2"/>
        <v/>
      </c>
      <c r="E130" s="366"/>
      <c r="F130" s="376">
        <f>Summary!E91</f>
        <v>0</v>
      </c>
      <c r="G130" s="403"/>
    </row>
    <row r="131" spans="1:7" x14ac:dyDescent="0.2">
      <c r="A131" s="379" t="str">
        <f>Summary!D92</f>
        <v>Other costs: not in use</v>
      </c>
      <c r="B131" s="401"/>
      <c r="C131" s="401"/>
      <c r="D131" s="373" t="str">
        <f t="shared" si="2"/>
        <v/>
      </c>
      <c r="E131" s="366"/>
      <c r="F131" s="376">
        <f>Summary!E92</f>
        <v>0</v>
      </c>
      <c r="G131" s="403"/>
    </row>
    <row r="132" spans="1:7" x14ac:dyDescent="0.2">
      <c r="A132" s="379" t="str">
        <f>Summary!D93</f>
        <v>Other costs: not in use</v>
      </c>
      <c r="B132" s="401"/>
      <c r="C132" s="401"/>
      <c r="D132" s="373" t="str">
        <f t="shared" si="2"/>
        <v/>
      </c>
      <c r="E132" s="366"/>
      <c r="F132" s="376">
        <f>Summary!E93</f>
        <v>0</v>
      </c>
      <c r="G132" s="403"/>
    </row>
    <row r="133" spans="1:7" x14ac:dyDescent="0.2">
      <c r="A133" s="379" t="str">
        <f>Summary!D94</f>
        <v>Other costs: not in use</v>
      </c>
      <c r="B133" s="401"/>
      <c r="C133" s="401"/>
      <c r="D133" s="373" t="str">
        <f t="shared" si="2"/>
        <v/>
      </c>
      <c r="E133" s="366"/>
      <c r="F133" s="376">
        <f>Summary!E94</f>
        <v>0</v>
      </c>
      <c r="G133" s="403"/>
    </row>
    <row r="134" spans="1:7" x14ac:dyDescent="0.2">
      <c r="A134" s="379" t="str">
        <f>Summary!D95</f>
        <v>Other costs: not in use</v>
      </c>
      <c r="B134" s="401"/>
      <c r="C134" s="401"/>
      <c r="D134" s="373" t="str">
        <f t="shared" si="2"/>
        <v/>
      </c>
      <c r="E134" s="366"/>
      <c r="F134" s="376">
        <f>Summary!E95</f>
        <v>0</v>
      </c>
      <c r="G134" s="403"/>
    </row>
    <row r="135" spans="1:7" x14ac:dyDescent="0.2">
      <c r="A135" s="379" t="str">
        <f>Summary!D96</f>
        <v>Other costs: not in use</v>
      </c>
      <c r="B135" s="401"/>
      <c r="C135" s="401"/>
      <c r="D135" s="373" t="str">
        <f t="shared" si="2"/>
        <v/>
      </c>
      <c r="E135" s="366"/>
      <c r="F135" s="376">
        <f>Summary!E96</f>
        <v>0</v>
      </c>
      <c r="G135" s="403"/>
    </row>
    <row r="136" spans="1:7" x14ac:dyDescent="0.2">
      <c r="A136" s="379" t="str">
        <f>Summary!D97</f>
        <v>Other costs: not in use</v>
      </c>
      <c r="B136" s="401"/>
      <c r="C136" s="401"/>
      <c r="D136" s="373" t="str">
        <f t="shared" si="2"/>
        <v/>
      </c>
      <c r="E136" s="366"/>
      <c r="F136" s="376">
        <f>Summary!E97</f>
        <v>0</v>
      </c>
      <c r="G136" s="403"/>
    </row>
    <row r="137" spans="1:7" x14ac:dyDescent="0.2">
      <c r="A137" s="379" t="str">
        <f>Summary!D98</f>
        <v>Other costs: not in use</v>
      </c>
      <c r="B137" s="401"/>
      <c r="C137" s="401"/>
      <c r="D137" s="373" t="str">
        <f t="shared" si="2"/>
        <v/>
      </c>
      <c r="E137" s="366"/>
      <c r="F137" s="376">
        <f>Summary!E98</f>
        <v>0</v>
      </c>
      <c r="G137" s="403"/>
    </row>
    <row r="138" spans="1:7" x14ac:dyDescent="0.2">
      <c r="A138" s="379" t="str">
        <f>Summary!D99</f>
        <v>Other costs: not in use</v>
      </c>
      <c r="B138" s="401"/>
      <c r="C138" s="401"/>
      <c r="D138" s="373" t="str">
        <f t="shared" si="2"/>
        <v/>
      </c>
      <c r="E138" s="366"/>
      <c r="F138" s="376">
        <f>Summary!E99</f>
        <v>0</v>
      </c>
      <c r="G138" s="403"/>
    </row>
    <row r="139" spans="1:7" x14ac:dyDescent="0.2">
      <c r="A139" s="379" t="str">
        <f>Summary!D100</f>
        <v>Other costs: not in use</v>
      </c>
      <c r="B139" s="401"/>
      <c r="C139" s="401"/>
      <c r="D139" s="373" t="str">
        <f t="shared" si="2"/>
        <v/>
      </c>
      <c r="E139" s="366"/>
      <c r="F139" s="376">
        <f>Summary!E100</f>
        <v>0</v>
      </c>
      <c r="G139" s="403"/>
    </row>
    <row r="140" spans="1:7" x14ac:dyDescent="0.2">
      <c r="A140" s="379" t="str">
        <f>Summary!D101</f>
        <v>Other costs: not in use</v>
      </c>
      <c r="B140" s="401"/>
      <c r="C140" s="401"/>
      <c r="D140" s="373" t="str">
        <f t="shared" si="2"/>
        <v/>
      </c>
      <c r="E140" s="366"/>
      <c r="F140" s="376">
        <f>Summary!E101</f>
        <v>0</v>
      </c>
      <c r="G140" s="403"/>
    </row>
    <row r="141" spans="1:7" x14ac:dyDescent="0.2">
      <c r="A141" s="379" t="str">
        <f>Summary!D102</f>
        <v>Other costs: not in use</v>
      </c>
      <c r="B141" s="401"/>
      <c r="C141" s="401"/>
      <c r="D141" s="373" t="str">
        <f t="shared" si="2"/>
        <v/>
      </c>
      <c r="E141" s="366"/>
      <c r="F141" s="376">
        <f>Summary!E102</f>
        <v>0</v>
      </c>
      <c r="G141" s="403"/>
    </row>
    <row r="142" spans="1:7" ht="13.5" thickBot="1" x14ac:dyDescent="0.25">
      <c r="A142" s="379" t="str">
        <f>Summary!D103</f>
        <v>Other costs: not in use</v>
      </c>
      <c r="B142" s="426"/>
      <c r="C142" s="426"/>
      <c r="D142" s="427"/>
      <c r="E142" s="366"/>
      <c r="F142" s="377">
        <f>Summary!E103</f>
        <v>0</v>
      </c>
      <c r="G142" s="404"/>
    </row>
    <row r="143" spans="1:7" ht="13.5" thickBot="1" x14ac:dyDescent="0.25">
      <c r="A143" s="429" t="s">
        <v>533</v>
      </c>
      <c r="B143" s="430">
        <f>SUM(B55:B142)</f>
        <v>0</v>
      </c>
      <c r="C143" s="430">
        <f>SUM(C55:C142)</f>
        <v>0</v>
      </c>
      <c r="D143" s="431" t="str">
        <f t="shared" si="2"/>
        <v/>
      </c>
      <c r="E143" s="364"/>
      <c r="F143" s="940">
        <f>SUM(F55:F142)</f>
        <v>545385.19999999995</v>
      </c>
      <c r="G143" s="943"/>
    </row>
    <row r="144" spans="1:7" x14ac:dyDescent="0.2">
      <c r="A144" s="428" t="s">
        <v>800</v>
      </c>
      <c r="B144" s="400"/>
      <c r="C144" s="1264"/>
      <c r="D144" s="1265"/>
      <c r="E144" s="366"/>
      <c r="F144" s="375">
        <f>Summary!E131</f>
        <v>11156</v>
      </c>
      <c r="G144" s="402"/>
    </row>
    <row r="145" spans="1:7" ht="13.5" thickBot="1" x14ac:dyDescent="0.25">
      <c r="A145" s="384" t="s">
        <v>801</v>
      </c>
      <c r="B145" s="407"/>
      <c r="C145" s="1266"/>
      <c r="D145" s="1267"/>
      <c r="E145" s="366"/>
      <c r="F145" s="377">
        <f>Summary!E141</f>
        <v>0</v>
      </c>
      <c r="G145" s="404"/>
    </row>
  </sheetData>
  <sheetProtection algorithmName="SHA-512" hashValue="qhke4SuYWwvuYQ6SndpsksY+dgCcJHE11YyoQG87Y0EK4s0LtYQoGGJJ2MQjNe8WkhErvNjD3vM9QuWa9LH0ug==" saltValue="CBdaKEOoP7QEcoUQvnLVNw==" spinCount="100000" sheet="1" formatCells="0"/>
  <mergeCells count="19">
    <mergeCell ref="A1:G1"/>
    <mergeCell ref="A5:A6"/>
    <mergeCell ref="B5:D5"/>
    <mergeCell ref="G5:G6"/>
    <mergeCell ref="A2:E2"/>
    <mergeCell ref="F2:F3"/>
    <mergeCell ref="A49:D49"/>
    <mergeCell ref="F49:G49"/>
    <mergeCell ref="A51:D51"/>
    <mergeCell ref="F51:G51"/>
    <mergeCell ref="A7:D7"/>
    <mergeCell ref="F7:G7"/>
    <mergeCell ref="A33:D33"/>
    <mergeCell ref="F33:G33"/>
    <mergeCell ref="C144:D145"/>
    <mergeCell ref="A53:D53"/>
    <mergeCell ref="F53:G53"/>
    <mergeCell ref="A54:D54"/>
    <mergeCell ref="F54:G54"/>
  </mergeCells>
  <phoneticPr fontId="30" type="noConversion"/>
  <conditionalFormatting sqref="B77:C81 B89:C94 B104:C107 B111:C116 A34:A48 B123:C142 E111:E116 E104:E107 E89:E94 E77:E81 E96:E101 E123:E142 B14:C32 E15:E32 A8:A32 B96:C101">
    <cfRule type="cellIs" dxfId="7" priority="6" stopIfTrue="1" operator="equal">
      <formula>"Not in use"</formula>
    </cfRule>
  </conditionalFormatting>
  <conditionalFormatting sqref="A67:A74">
    <cfRule type="cellIs" dxfId="6" priority="7" stopIfTrue="1" operator="equal">
      <formula>"Staffing: not in use"</formula>
    </cfRule>
  </conditionalFormatting>
  <conditionalFormatting sqref="F34:F48 F8:F32 F55:F142">
    <cfRule type="cellIs" dxfId="5" priority="8" stopIfTrue="1" operator="equal">
      <formula>0</formula>
    </cfRule>
  </conditionalFormatting>
  <conditionalFormatting sqref="F144:F145">
    <cfRule type="cellIs" dxfId="4" priority="9" stopIfTrue="1" operator="equal">
      <formula>0</formula>
    </cfRule>
  </conditionalFormatting>
  <conditionalFormatting sqref="A84:A89">
    <cfRule type="cellIs" dxfId="3" priority="5" operator="equal">
      <formula>"Premises: Not in use"</formula>
    </cfRule>
  </conditionalFormatting>
  <conditionalFormatting sqref="A92:A99">
    <cfRule type="cellIs" dxfId="2" priority="4" operator="equal">
      <formula>"Curriculum: not in use"</formula>
    </cfRule>
  </conditionalFormatting>
  <conditionalFormatting sqref="A107:A112">
    <cfRule type="cellIs" dxfId="1" priority="3" operator="equal">
      <formula>"Administrative: not in use"</formula>
    </cfRule>
  </conditionalFormatting>
  <conditionalFormatting sqref="A120:A142">
    <cfRule type="cellIs" dxfId="0" priority="1" operator="equal">
      <formula>"Other costs: not in use"</formula>
    </cfRule>
  </conditionalFormatting>
  <hyperlinks>
    <hyperlink ref="F2" location="' Guidance Notes'!B86" display="Guidance Notes"/>
  </hyperlinks>
  <pageMargins left="0.74803149606299213" right="0.74803149606299213" top="0.98425196850393704" bottom="0.98425196850393704" header="0.51181102362204722" footer="0.51181102362204722"/>
  <pageSetup paperSize="9" scale="91" fitToHeight="4" orientation="landscape" blackAndWhite="1" r:id="rId1"/>
  <headerFooter alignWithMargins="0">
    <oddHeader>&amp;R&amp;F</oddHeader>
    <oddFooter>&amp;LFormat Prepared by the Schools Finance Team&amp;RPrinted at &amp;T
on &amp;D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A1:I145"/>
  <sheetViews>
    <sheetView zoomScaleNormal="100" workbookViewId="0"/>
  </sheetViews>
  <sheetFormatPr defaultRowHeight="12.75" x14ac:dyDescent="0.2"/>
  <cols>
    <col min="1" max="1" width="51.42578125" bestFit="1" customWidth="1"/>
    <col min="2" max="2" width="18.28515625" customWidth="1"/>
    <col min="3" max="3" width="14.140625" bestFit="1" customWidth="1"/>
    <col min="4" max="4" width="13.5703125" bestFit="1" customWidth="1"/>
  </cols>
  <sheetData>
    <row r="1" spans="1:9" x14ac:dyDescent="0.2">
      <c r="A1" s="350" t="s">
        <v>802</v>
      </c>
      <c r="B1" s="561" t="str">
        <f>'Fin.Yr Lookups'!A5</f>
        <v>2020-21</v>
      </c>
      <c r="C1" s="562" t="str">
        <f>'Fin.Yr Lookups'!A16&amp;" Budget"</f>
        <v>2019-20 Budget</v>
      </c>
      <c r="D1" s="562" t="str">
        <f>'Fin.Yr Lookups'!A16&amp;" Actual"</f>
        <v>2019-20 Actual</v>
      </c>
    </row>
    <row r="2" spans="1:9" x14ac:dyDescent="0.2">
      <c r="A2" s="351" t="s">
        <v>803</v>
      </c>
      <c r="B2" s="352">
        <f>Income!E16</f>
        <v>62180</v>
      </c>
      <c r="C2" s="351">
        <f>'Prior Year Comparison'!B50</f>
        <v>0</v>
      </c>
      <c r="D2" s="351">
        <f>'Prior Year Comparison'!C50</f>
        <v>0</v>
      </c>
    </row>
    <row r="3" spans="1:9" x14ac:dyDescent="0.2">
      <c r="A3" s="351" t="str">
        <f>Income!A19</f>
        <v>Section 251 Schools Block (excluding PFI)</v>
      </c>
      <c r="B3" s="971"/>
      <c r="C3" s="351">
        <f>'Prior Year Comparison'!B8</f>
        <v>0</v>
      </c>
      <c r="D3" s="351">
        <f>'Prior Year Comparison'!C8</f>
        <v>0</v>
      </c>
      <c r="F3" s="1299" t="s">
        <v>1007</v>
      </c>
      <c r="G3" s="1299"/>
      <c r="H3" s="1299"/>
      <c r="I3" s="1299"/>
    </row>
    <row r="4" spans="1:9" x14ac:dyDescent="0.2">
      <c r="A4" s="351" t="str">
        <f>Income!A20</f>
        <v>Section 251: De-delegated funding (excl. ESG)</v>
      </c>
      <c r="B4" s="971"/>
      <c r="C4" s="351">
        <f>'Prior Year Comparison'!B9</f>
        <v>0</v>
      </c>
      <c r="D4" s="351">
        <f>'Prior Year Comparison'!C9</f>
        <v>0</v>
      </c>
      <c r="F4" s="1299"/>
      <c r="G4" s="1299"/>
      <c r="H4" s="1299"/>
      <c r="I4" s="1299"/>
    </row>
    <row r="5" spans="1:9" x14ac:dyDescent="0.2">
      <c r="A5" s="351" t="str">
        <f>Income!A21</f>
        <v>Section 251 Schools Block - PFI Funding</v>
      </c>
      <c r="B5" s="971"/>
      <c r="C5" s="351">
        <f>'Prior Year Comparison'!B10</f>
        <v>0</v>
      </c>
      <c r="D5" s="351">
        <f>'Prior Year Comparison'!C10</f>
        <v>0</v>
      </c>
      <c r="F5" s="1299"/>
      <c r="G5" s="1299"/>
      <c r="H5" s="1299"/>
      <c r="I5" s="1299"/>
    </row>
    <row r="6" spans="1:9" x14ac:dyDescent="0.2">
      <c r="A6" s="351" t="str">
        <f>Income!A22</f>
        <v>High Needs: SEND &amp; EHCP Funding</v>
      </c>
      <c r="B6" s="971"/>
      <c r="C6" s="351">
        <f>'Prior Year Comparison'!B11</f>
        <v>0</v>
      </c>
      <c r="D6" s="351">
        <f>'Prior Year Comparison'!C11</f>
        <v>0</v>
      </c>
      <c r="F6" s="1299"/>
      <c r="G6" s="1299"/>
      <c r="H6" s="1299"/>
      <c r="I6" s="1299"/>
    </row>
    <row r="7" spans="1:9" x14ac:dyDescent="0.2">
      <c r="A7" s="351" t="str">
        <f>Income!A23</f>
        <v>High Needs: Special Provision Funding</v>
      </c>
      <c r="B7" s="971"/>
      <c r="C7" s="351">
        <f>'Prior Year Comparison'!B12</f>
        <v>0</v>
      </c>
      <c r="D7" s="351">
        <f>'Prior Year Comparison'!C12</f>
        <v>0</v>
      </c>
      <c r="F7" s="1299"/>
      <c r="G7" s="1299"/>
      <c r="H7" s="1299"/>
      <c r="I7" s="1299"/>
    </row>
    <row r="8" spans="1:9" x14ac:dyDescent="0.2">
      <c r="A8" s="351" t="str">
        <f>Income!A24</f>
        <v>Early Years Block Funding</v>
      </c>
      <c r="B8" s="353">
        <f>Income!D24</f>
        <v>0</v>
      </c>
      <c r="C8" s="351">
        <f>'Prior Year Comparison'!B13</f>
        <v>0</v>
      </c>
      <c r="D8" s="351">
        <f>'Prior Year Comparison'!C13</f>
        <v>0</v>
      </c>
    </row>
    <row r="9" spans="1:9" x14ac:dyDescent="0.2">
      <c r="A9" s="351" t="str">
        <f>Income!A25</f>
        <v>Pupil Premium Funding</v>
      </c>
      <c r="B9" s="353">
        <f>Income!D25</f>
        <v>10760</v>
      </c>
      <c r="C9" s="351">
        <f>'Prior Year Comparison'!B14</f>
        <v>0</v>
      </c>
      <c r="D9" s="351">
        <f>'Prior Year Comparison'!C14</f>
        <v>0</v>
      </c>
    </row>
    <row r="10" spans="1:9" x14ac:dyDescent="0.2">
      <c r="A10" s="351" t="str">
        <f>Income!A26</f>
        <v>KS1 Class Size Funding</v>
      </c>
      <c r="B10" s="353">
        <f>Income!D26</f>
        <v>9157</v>
      </c>
      <c r="C10" s="351">
        <f>'Prior Year Comparison'!B15</f>
        <v>0</v>
      </c>
      <c r="D10" s="351">
        <f>'Prior Year Comparison'!C15</f>
        <v>0</v>
      </c>
    </row>
    <row r="11" spans="1:9" x14ac:dyDescent="0.2">
      <c r="A11" s="351" t="str">
        <f>Income!A27</f>
        <v>Universal Infant Free School Meal Funding (UIFSM)</v>
      </c>
      <c r="B11" s="353">
        <f>Income!D27</f>
        <v>13419</v>
      </c>
      <c r="C11" s="351">
        <f>'Prior Year Comparison'!B16</f>
        <v>0</v>
      </c>
      <c r="D11" s="351">
        <f>'Prior Year Comparison'!C16</f>
        <v>0</v>
      </c>
    </row>
    <row r="12" spans="1:9" x14ac:dyDescent="0.2">
      <c r="A12" s="351" t="str">
        <f>Income!A28</f>
        <v>Sports Grant Funding</v>
      </c>
      <c r="B12" s="353">
        <f>Income!D28</f>
        <v>16730</v>
      </c>
      <c r="C12" s="353">
        <f>'Prior Year Comparison'!B17</f>
        <v>0</v>
      </c>
      <c r="D12" s="353">
        <f>'Prior Year Comparison'!C17</f>
        <v>0</v>
      </c>
    </row>
    <row r="13" spans="1:9" x14ac:dyDescent="0.2">
      <c r="A13" s="351" t="str">
        <f>Income!A29</f>
        <v>Teachers Pay Grant</v>
      </c>
      <c r="B13" s="353">
        <f>Income!D29</f>
        <v>4846</v>
      </c>
      <c r="C13" s="351">
        <f>'Prior Year Comparison'!B18</f>
        <v>0</v>
      </c>
      <c r="D13" s="351">
        <f>'Prior Year Comparison'!C18</f>
        <v>0</v>
      </c>
    </row>
    <row r="14" spans="1:9" x14ac:dyDescent="0.2">
      <c r="A14" s="351" t="str">
        <f>Income!A30</f>
        <v>Teachers Pension Grant</v>
      </c>
      <c r="B14" s="353">
        <f>Income!D30</f>
        <v>13689</v>
      </c>
      <c r="C14" s="351">
        <f>'Prior Year Comparison'!B19</f>
        <v>0</v>
      </c>
      <c r="D14" s="351">
        <f>'Prior Year Comparison'!C19</f>
        <v>0</v>
      </c>
    </row>
    <row r="15" spans="1:9" x14ac:dyDescent="0.2">
      <c r="A15" s="351" t="str">
        <f>Income!A31</f>
        <v>Other: Please enter description</v>
      </c>
      <c r="B15" s="353">
        <f>Income!D31</f>
        <v>0</v>
      </c>
      <c r="C15" s="351">
        <f>'Prior Year Comparison'!B20</f>
        <v>0</v>
      </c>
      <c r="D15" s="351">
        <f>'Prior Year Comparison'!C20</f>
        <v>0</v>
      </c>
    </row>
    <row r="16" spans="1:9" x14ac:dyDescent="0.2">
      <c r="A16" s="351" t="str">
        <f>Income!A32</f>
        <v>Other: Please enter description</v>
      </c>
      <c r="B16" s="353">
        <f>Income!D32</f>
        <v>0</v>
      </c>
      <c r="C16" s="351">
        <f>'Prior Year Comparison'!B21</f>
        <v>0</v>
      </c>
      <c r="D16" s="351">
        <f>'Prior Year Comparison'!C21</f>
        <v>0</v>
      </c>
    </row>
    <row r="17" spans="1:4" x14ac:dyDescent="0.2">
      <c r="A17" s="351" t="str">
        <f>Income!A33</f>
        <v>Other: Please enter description</v>
      </c>
      <c r="B17" s="353">
        <f>Income!D33</f>
        <v>0</v>
      </c>
      <c r="C17" s="351">
        <f>'Prior Year Comparison'!B22</f>
        <v>0</v>
      </c>
      <c r="D17" s="351">
        <f>'Prior Year Comparison'!C22</f>
        <v>0</v>
      </c>
    </row>
    <row r="18" spans="1:4" x14ac:dyDescent="0.2">
      <c r="A18" s="351" t="str">
        <f>Income!A34</f>
        <v>Other: Please enter description</v>
      </c>
      <c r="B18" s="353">
        <f>Income!D34</f>
        <v>0</v>
      </c>
      <c r="C18" s="351">
        <f>'Prior Year Comparison'!B23</f>
        <v>0</v>
      </c>
      <c r="D18" s="351">
        <f>'Prior Year Comparison'!C23</f>
        <v>0</v>
      </c>
    </row>
    <row r="19" spans="1:4" x14ac:dyDescent="0.2">
      <c r="A19" s="351" t="str">
        <f>Income!A35</f>
        <v>Other: Please enter description</v>
      </c>
      <c r="B19" s="353">
        <f>Income!D35</f>
        <v>0</v>
      </c>
      <c r="C19" s="351">
        <f>'Prior Year Comparison'!B24</f>
        <v>0</v>
      </c>
      <c r="D19" s="351">
        <f>'Prior Year Comparison'!C24</f>
        <v>0</v>
      </c>
    </row>
    <row r="20" spans="1:4" x14ac:dyDescent="0.2">
      <c r="A20" s="351" t="str">
        <f>Income!A36</f>
        <v>Other: Please enter description</v>
      </c>
      <c r="B20" s="353">
        <f>Income!D36</f>
        <v>0</v>
      </c>
      <c r="C20" s="351">
        <f>'Prior Year Comparison'!B25</f>
        <v>0</v>
      </c>
      <c r="D20" s="351">
        <f>'Prior Year Comparison'!C25</f>
        <v>0</v>
      </c>
    </row>
    <row r="21" spans="1:4" x14ac:dyDescent="0.2">
      <c r="A21" s="351" t="str">
        <f>Income!A37</f>
        <v>Other: Please enter description</v>
      </c>
      <c r="B21" s="353">
        <f>Income!D37</f>
        <v>0</v>
      </c>
      <c r="C21" s="351">
        <f>'Prior Year Comparison'!B26</f>
        <v>0</v>
      </c>
      <c r="D21" s="351">
        <f>'Prior Year Comparison'!C26</f>
        <v>0</v>
      </c>
    </row>
    <row r="22" spans="1:4" x14ac:dyDescent="0.2">
      <c r="A22" s="351" t="str">
        <f>Income!A38</f>
        <v>Other: Please enter description</v>
      </c>
      <c r="B22" s="353">
        <f>Income!D38</f>
        <v>0</v>
      </c>
      <c r="C22" s="351">
        <f>'Prior Year Comparison'!B27</f>
        <v>0</v>
      </c>
      <c r="D22" s="351">
        <f>'Prior Year Comparison'!C27</f>
        <v>0</v>
      </c>
    </row>
    <row r="23" spans="1:4" x14ac:dyDescent="0.2">
      <c r="A23" s="351" t="str">
        <f>Income!A39</f>
        <v>Other: Please enter description</v>
      </c>
      <c r="B23" s="353">
        <f>Income!D39</f>
        <v>0</v>
      </c>
      <c r="C23" s="351">
        <f>'Prior Year Comparison'!B28</f>
        <v>0</v>
      </c>
      <c r="D23" s="351">
        <f>'Prior Year Comparison'!C28</f>
        <v>0</v>
      </c>
    </row>
    <row r="24" spans="1:4" x14ac:dyDescent="0.2">
      <c r="A24" s="351" t="str">
        <f>Income!A40</f>
        <v>Other: Please enter description</v>
      </c>
      <c r="B24" s="353">
        <f>Income!D40</f>
        <v>0</v>
      </c>
      <c r="C24" s="351">
        <f>'Prior Year Comparison'!B29</f>
        <v>0</v>
      </c>
      <c r="D24" s="351">
        <f>'Prior Year Comparison'!C29</f>
        <v>0</v>
      </c>
    </row>
    <row r="25" spans="1:4" x14ac:dyDescent="0.2">
      <c r="A25" s="351" t="str">
        <f>Income!A41</f>
        <v>Other: Please enter description</v>
      </c>
      <c r="B25" s="353">
        <f>Income!D41</f>
        <v>0</v>
      </c>
      <c r="C25" s="351">
        <f>'Prior Year Comparison'!B30</f>
        <v>0</v>
      </c>
      <c r="D25" s="351">
        <f>'Prior Year Comparison'!C30</f>
        <v>0</v>
      </c>
    </row>
    <row r="26" spans="1:4" x14ac:dyDescent="0.2">
      <c r="A26" s="351" t="str">
        <f>Income!A42</f>
        <v>Other: Please enter description</v>
      </c>
      <c r="B26" s="353">
        <f>Income!D42</f>
        <v>0</v>
      </c>
      <c r="C26" s="351">
        <f>'Prior Year Comparison'!B31</f>
        <v>0</v>
      </c>
      <c r="D26" s="351">
        <f>'Prior Year Comparison'!C31</f>
        <v>0</v>
      </c>
    </row>
    <row r="27" spans="1:4" x14ac:dyDescent="0.2">
      <c r="A27" s="351" t="str">
        <f>Income!A43</f>
        <v>Other: Please enter description</v>
      </c>
      <c r="B27" s="353">
        <f>Income!D43</f>
        <v>0</v>
      </c>
      <c r="C27" s="351">
        <f>'Prior Year Comparison'!B32</f>
        <v>0</v>
      </c>
      <c r="D27" s="351">
        <f>'Prior Year Comparison'!C32</f>
        <v>0</v>
      </c>
    </row>
    <row r="28" spans="1:4" x14ac:dyDescent="0.2">
      <c r="A28" s="351" t="str">
        <f>Income!A47</f>
        <v>Rent &amp; Lettings</v>
      </c>
      <c r="B28" s="353">
        <f>Income!D47</f>
        <v>0</v>
      </c>
      <c r="C28" s="351">
        <f>'Prior Year Comparison'!B34</f>
        <v>0</v>
      </c>
      <c r="D28" s="351">
        <f>'Prior Year Comparison'!C34</f>
        <v>0</v>
      </c>
    </row>
    <row r="29" spans="1:4" x14ac:dyDescent="0.2">
      <c r="A29" s="351" t="str">
        <f>Income!A48</f>
        <v>Other Income</v>
      </c>
      <c r="B29" s="353">
        <f>Income!D48</f>
        <v>0</v>
      </c>
      <c r="C29" s="351">
        <f>'Prior Year Comparison'!B35</f>
        <v>0</v>
      </c>
      <c r="D29" s="351">
        <f>'Prior Year Comparison'!C35</f>
        <v>0</v>
      </c>
    </row>
    <row r="30" spans="1:4" x14ac:dyDescent="0.2">
      <c r="A30" s="351" t="str">
        <f>Income!A49</f>
        <v>Catering Income</v>
      </c>
      <c r="B30" s="353">
        <f>Income!D49</f>
        <v>8580</v>
      </c>
      <c r="C30" s="351">
        <f>'Prior Year Comparison'!B36</f>
        <v>0</v>
      </c>
      <c r="D30" s="351">
        <f>'Prior Year Comparison'!C36</f>
        <v>0</v>
      </c>
    </row>
    <row r="31" spans="1:4" x14ac:dyDescent="0.2">
      <c r="A31" s="351" t="str">
        <f>Income!A50</f>
        <v>Swimming Income</v>
      </c>
      <c r="B31" s="353">
        <f>Income!D50</f>
        <v>920</v>
      </c>
      <c r="C31" s="351">
        <f>'Prior Year Comparison'!B37</f>
        <v>0</v>
      </c>
      <c r="D31" s="351">
        <f>'Prior Year Comparison'!C37</f>
        <v>0</v>
      </c>
    </row>
    <row r="32" spans="1:4" x14ac:dyDescent="0.2">
      <c r="A32" s="351" t="str">
        <f>Income!A51</f>
        <v>School Club Income</v>
      </c>
      <c r="B32" s="353">
        <f>Income!D51</f>
        <v>600</v>
      </c>
      <c r="C32" s="351">
        <f>'Prior Year Comparison'!B38</f>
        <v>0</v>
      </c>
      <c r="D32" s="351">
        <f>'Prior Year Comparison'!C38</f>
        <v>0</v>
      </c>
    </row>
    <row r="33" spans="1:4" x14ac:dyDescent="0.2">
      <c r="A33" s="351" t="str">
        <f>Income!A52</f>
        <v>Breakfast Club Income</v>
      </c>
      <c r="B33" s="353">
        <f>Income!D52</f>
        <v>3048</v>
      </c>
      <c r="C33" s="351">
        <f>'Prior Year Comparison'!B39</f>
        <v>0</v>
      </c>
      <c r="D33" s="351">
        <f>'Prior Year Comparison'!C39</f>
        <v>0</v>
      </c>
    </row>
    <row r="34" spans="1:4" x14ac:dyDescent="0.2">
      <c r="A34" s="351" t="str">
        <f>Income!A53</f>
        <v>SAS Maternity Insurance</v>
      </c>
      <c r="B34" s="353">
        <f>Income!D53</f>
        <v>4480</v>
      </c>
      <c r="C34" s="351">
        <f>'Prior Year Comparison'!B40</f>
        <v>0</v>
      </c>
      <c r="D34" s="351">
        <f>'Prior Year Comparison'!C40</f>
        <v>0</v>
      </c>
    </row>
    <row r="35" spans="1:4" x14ac:dyDescent="0.2">
      <c r="A35" s="351">
        <f>Income!A54</f>
        <v>0</v>
      </c>
      <c r="B35" s="353">
        <f>Income!D54</f>
        <v>0</v>
      </c>
      <c r="C35" s="351">
        <f>'Prior Year Comparison'!B41</f>
        <v>0</v>
      </c>
      <c r="D35" s="351">
        <f>'Prior Year Comparison'!C41</f>
        <v>0</v>
      </c>
    </row>
    <row r="36" spans="1:4" x14ac:dyDescent="0.2">
      <c r="A36" s="351" t="str">
        <f>Income!A55</f>
        <v>Other: Please enter description</v>
      </c>
      <c r="B36" s="353">
        <f>Income!D55</f>
        <v>0</v>
      </c>
      <c r="C36" s="351">
        <f>'Prior Year Comparison'!B42</f>
        <v>0</v>
      </c>
      <c r="D36" s="351">
        <f>'Prior Year Comparison'!C42</f>
        <v>0</v>
      </c>
    </row>
    <row r="37" spans="1:4" x14ac:dyDescent="0.2">
      <c r="A37" s="351" t="str">
        <f>Income!A56</f>
        <v>Other: Please enter description</v>
      </c>
      <c r="B37" s="353">
        <f>Income!D56</f>
        <v>0</v>
      </c>
      <c r="C37" s="351">
        <f>'Prior Year Comparison'!B43</f>
        <v>0</v>
      </c>
      <c r="D37" s="351">
        <f>'Prior Year Comparison'!C43</f>
        <v>0</v>
      </c>
    </row>
    <row r="38" spans="1:4" x14ac:dyDescent="0.2">
      <c r="A38" s="351" t="str">
        <f>Income!A57</f>
        <v>Other: Please enter description</v>
      </c>
      <c r="B38" s="353">
        <f>Income!D57</f>
        <v>0</v>
      </c>
      <c r="C38" s="351">
        <f>'Prior Year Comparison'!B44</f>
        <v>0</v>
      </c>
      <c r="D38" s="351">
        <f>'Prior Year Comparison'!C44</f>
        <v>0</v>
      </c>
    </row>
    <row r="39" spans="1:4" x14ac:dyDescent="0.2">
      <c r="A39" s="351" t="str">
        <f>Income!A58</f>
        <v>Other: Please enter description</v>
      </c>
      <c r="B39" s="353">
        <f>Income!D58</f>
        <v>0</v>
      </c>
      <c r="C39" s="351">
        <f>'Prior Year Comparison'!B45</f>
        <v>0</v>
      </c>
      <c r="D39" s="351">
        <f>'Prior Year Comparison'!C45</f>
        <v>0</v>
      </c>
    </row>
    <row r="40" spans="1:4" x14ac:dyDescent="0.2">
      <c r="A40" s="351" t="str">
        <f>Income!A59</f>
        <v>Other: Please enter description</v>
      </c>
      <c r="B40" s="353">
        <f>Income!D59</f>
        <v>0</v>
      </c>
      <c r="C40" s="351">
        <f>'Prior Year Comparison'!B46</f>
        <v>0</v>
      </c>
      <c r="D40" s="351">
        <f>'Prior Year Comparison'!C46</f>
        <v>0</v>
      </c>
    </row>
    <row r="41" spans="1:4" x14ac:dyDescent="0.2">
      <c r="A41" s="351" t="str">
        <f>Income!A60</f>
        <v>Other: Please enter description</v>
      </c>
      <c r="B41" s="353">
        <f>Income!D60</f>
        <v>0</v>
      </c>
      <c r="C41" s="351">
        <f>'Prior Year Comparison'!B47</f>
        <v>0</v>
      </c>
      <c r="D41" s="351">
        <f>'Prior Year Comparison'!C47</f>
        <v>0</v>
      </c>
    </row>
    <row r="42" spans="1:4" x14ac:dyDescent="0.2">
      <c r="A42" s="351" t="str">
        <f>Income!A61</f>
        <v>Other: Please enter description</v>
      </c>
      <c r="B42" s="353">
        <f>Income!D61</f>
        <v>0</v>
      </c>
      <c r="C42" s="351">
        <f>'Prior Year Comparison'!B48</f>
        <v>0</v>
      </c>
      <c r="D42" s="351">
        <f>'Prior Year Comparison'!C48</f>
        <v>0</v>
      </c>
    </row>
    <row r="43" spans="1:4" x14ac:dyDescent="0.2">
      <c r="A43" s="351" t="str">
        <f>Summary!A60</f>
        <v>Teachers</v>
      </c>
      <c r="B43" s="353">
        <f>Summary!B60</f>
        <v>266467</v>
      </c>
      <c r="C43" s="351">
        <f>'Prior Year Comparison'!B55</f>
        <v>0</v>
      </c>
      <c r="D43" s="351">
        <f>'Prior Year Comparison'!C55</f>
        <v>0</v>
      </c>
    </row>
    <row r="44" spans="1:4" x14ac:dyDescent="0.2">
      <c r="A44" s="351" t="str">
        <f>Summary!A61</f>
        <v>Supply Staff</v>
      </c>
      <c r="B44" s="353">
        <f>Summary!B61</f>
        <v>3808</v>
      </c>
      <c r="C44" s="351">
        <f>'Prior Year Comparison'!B56</f>
        <v>0</v>
      </c>
      <c r="D44" s="351">
        <f>'Prior Year Comparison'!C56</f>
        <v>0</v>
      </c>
    </row>
    <row r="45" spans="1:4" x14ac:dyDescent="0.2">
      <c r="A45" s="351" t="str">
        <f>Summary!A62</f>
        <v>Administrative Staff</v>
      </c>
      <c r="B45" s="353">
        <f>Summary!B62</f>
        <v>32930</v>
      </c>
      <c r="C45" s="351">
        <f>'Prior Year Comparison'!B57</f>
        <v>0</v>
      </c>
      <c r="D45" s="351">
        <f>'Prior Year Comparison'!C57</f>
        <v>0</v>
      </c>
    </row>
    <row r="46" spans="1:4" x14ac:dyDescent="0.2">
      <c r="A46" s="351" t="str">
        <f>Summary!A63</f>
        <v>Nursery Nurses</v>
      </c>
      <c r="B46" s="353">
        <f>Summary!B63</f>
        <v>0</v>
      </c>
      <c r="C46" s="351">
        <f>'Prior Year Comparison'!B58</f>
        <v>0</v>
      </c>
      <c r="D46" s="351">
        <f>'Prior Year Comparison'!C58</f>
        <v>0</v>
      </c>
    </row>
    <row r="47" spans="1:4" x14ac:dyDescent="0.2">
      <c r="A47" s="351" t="str">
        <f>Summary!A64</f>
        <v>Classroom Support</v>
      </c>
      <c r="B47" s="353">
        <f>Summary!B64</f>
        <v>53286</v>
      </c>
      <c r="C47" s="351">
        <f>'Prior Year Comparison'!B59</f>
        <v>0</v>
      </c>
      <c r="D47" s="351">
        <f>'Prior Year Comparison'!C59</f>
        <v>0</v>
      </c>
    </row>
    <row r="48" spans="1:4" x14ac:dyDescent="0.2">
      <c r="A48" s="351" t="str">
        <f>Summary!A65</f>
        <v>SEN Welfare</v>
      </c>
      <c r="B48" s="353">
        <f>Summary!B65</f>
        <v>0</v>
      </c>
      <c r="C48" s="351">
        <f>'Prior Year Comparison'!B60</f>
        <v>0</v>
      </c>
      <c r="D48" s="351">
        <f>'Prior Year Comparison'!C60</f>
        <v>0</v>
      </c>
    </row>
    <row r="49" spans="1:4" x14ac:dyDescent="0.2">
      <c r="A49" s="351" t="str">
        <f>Summary!A66</f>
        <v>Premises Staff</v>
      </c>
      <c r="B49" s="353">
        <f>Summary!B66</f>
        <v>14535</v>
      </c>
      <c r="C49" s="351">
        <f>'Prior Year Comparison'!B61</f>
        <v>0</v>
      </c>
      <c r="D49" s="351">
        <f>'Prior Year Comparison'!C61</f>
        <v>0</v>
      </c>
    </row>
    <row r="50" spans="1:4" x14ac:dyDescent="0.2">
      <c r="A50" s="351" t="str">
        <f>Summary!A67</f>
        <v>Midday Supervision</v>
      </c>
      <c r="B50" s="353">
        <f>Summary!B67</f>
        <v>7538</v>
      </c>
      <c r="C50" s="351">
        <f>'Prior Year Comparison'!B62</f>
        <v>0</v>
      </c>
      <c r="D50" s="351">
        <f>'Prior Year Comparison'!C62</f>
        <v>0</v>
      </c>
    </row>
    <row r="51" spans="1:4" x14ac:dyDescent="0.2">
      <c r="A51" s="351" t="str">
        <f>Summary!A68</f>
        <v>Catering Staff</v>
      </c>
      <c r="B51" s="353">
        <f>Summary!B68</f>
        <v>20702</v>
      </c>
      <c r="C51" s="351">
        <f>'Prior Year Comparison'!B63</f>
        <v>0</v>
      </c>
      <c r="D51" s="351">
        <f>'Prior Year Comparison'!C63</f>
        <v>0</v>
      </c>
    </row>
    <row r="52" spans="1:4" x14ac:dyDescent="0.2">
      <c r="A52" s="351" t="str">
        <f>Summary!A69</f>
        <v>Community Extended Schools Staff</v>
      </c>
      <c r="B52" s="353">
        <f>Summary!B69</f>
        <v>0</v>
      </c>
      <c r="C52" s="351">
        <f>'Prior Year Comparison'!B64</f>
        <v>0</v>
      </c>
      <c r="D52" s="351">
        <f>'Prior Year Comparison'!C64</f>
        <v>0</v>
      </c>
    </row>
    <row r="53" spans="1:4" x14ac:dyDescent="0.2">
      <c r="A53" s="351" t="str">
        <f>Summary!A70</f>
        <v>Staff Insurance Premiums</v>
      </c>
      <c r="B53" s="353">
        <f>Summary!B70</f>
        <v>8935</v>
      </c>
      <c r="C53" s="351">
        <f>'Prior Year Comparison'!B65</f>
        <v>0</v>
      </c>
      <c r="D53" s="351">
        <f>'Prior Year Comparison'!C65</f>
        <v>0</v>
      </c>
    </row>
    <row r="54" spans="1:4" x14ac:dyDescent="0.2">
      <c r="A54" s="351" t="str">
        <f>Summary!A71</f>
        <v>Other Employees Expenses</v>
      </c>
      <c r="B54" s="353">
        <f>Summary!B71</f>
        <v>3749</v>
      </c>
      <c r="C54" s="351">
        <f>'Prior Year Comparison'!B66</f>
        <v>0</v>
      </c>
      <c r="D54" s="351">
        <f>'Prior Year Comparison'!C66</f>
        <v>0</v>
      </c>
    </row>
    <row r="55" spans="1:4" x14ac:dyDescent="0.2">
      <c r="A55" s="351" t="str">
        <f>Summary!A72</f>
        <v>PE Instructor</v>
      </c>
      <c r="B55" s="353">
        <f>Summary!B72</f>
        <v>9008</v>
      </c>
      <c r="C55" s="351">
        <f>'Prior Year Comparison'!B67</f>
        <v>0</v>
      </c>
      <c r="D55" s="351">
        <f>'Prior Year Comparison'!C67</f>
        <v>0</v>
      </c>
    </row>
    <row r="56" spans="1:4" x14ac:dyDescent="0.2">
      <c r="A56" s="351" t="str">
        <f>Summary!A73</f>
        <v>Breakfast Club Instructor</v>
      </c>
      <c r="B56" s="353">
        <f>Summary!B73</f>
        <v>4026</v>
      </c>
      <c r="C56" s="351">
        <f>'Prior Year Comparison'!B68</f>
        <v>0</v>
      </c>
      <c r="D56" s="351">
        <f>'Prior Year Comparison'!C68</f>
        <v>0</v>
      </c>
    </row>
    <row r="57" spans="1:4" x14ac:dyDescent="0.2">
      <c r="A57" s="351" t="str">
        <f>Summary!A74</f>
        <v>Staffing: not in use</v>
      </c>
      <c r="B57" s="353">
        <f>Summary!B74</f>
        <v>0</v>
      </c>
      <c r="C57" s="351">
        <f>'Prior Year Comparison'!B69</f>
        <v>0</v>
      </c>
      <c r="D57" s="351">
        <f>'Prior Year Comparison'!C69</f>
        <v>0</v>
      </c>
    </row>
    <row r="58" spans="1:4" x14ac:dyDescent="0.2">
      <c r="A58" s="351" t="str">
        <f>Summary!A75</f>
        <v>Staffing: not in use</v>
      </c>
      <c r="B58" s="353">
        <f>Summary!B75</f>
        <v>0</v>
      </c>
      <c r="C58" s="351">
        <f>'Prior Year Comparison'!B70</f>
        <v>0</v>
      </c>
      <c r="D58" s="351">
        <f>'Prior Year Comparison'!C70</f>
        <v>0</v>
      </c>
    </row>
    <row r="59" spans="1:4" x14ac:dyDescent="0.2">
      <c r="A59" s="351" t="str">
        <f>Summary!A76</f>
        <v>Staffing: not in use</v>
      </c>
      <c r="B59" s="353">
        <f>Summary!B76</f>
        <v>0</v>
      </c>
      <c r="C59" s="351">
        <f>'Prior Year Comparison'!B71</f>
        <v>0</v>
      </c>
      <c r="D59" s="351">
        <f>'Prior Year Comparison'!C71</f>
        <v>0</v>
      </c>
    </row>
    <row r="60" spans="1:4" x14ac:dyDescent="0.2">
      <c r="A60" s="351" t="str">
        <f>Summary!A77</f>
        <v>Staffing: not in use</v>
      </c>
      <c r="B60" s="353">
        <f>Summary!B77</f>
        <v>0</v>
      </c>
      <c r="C60" s="351">
        <f>'Prior Year Comparison'!B72</f>
        <v>0</v>
      </c>
      <c r="D60" s="351">
        <f>'Prior Year Comparison'!C72</f>
        <v>0</v>
      </c>
    </row>
    <row r="61" spans="1:4" x14ac:dyDescent="0.2">
      <c r="A61" s="351" t="str">
        <f>Summary!A78</f>
        <v>Staffing: not in use</v>
      </c>
      <c r="B61" s="353">
        <f>Summary!B78</f>
        <v>0</v>
      </c>
      <c r="C61" s="351">
        <f>'Prior Year Comparison'!B73</f>
        <v>0</v>
      </c>
      <c r="D61" s="351">
        <f>'Prior Year Comparison'!C73</f>
        <v>0</v>
      </c>
    </row>
    <row r="62" spans="1:4" x14ac:dyDescent="0.2">
      <c r="A62" s="351" t="str">
        <f>Summary!A79</f>
        <v>Staffing: not in use</v>
      </c>
      <c r="B62" s="353">
        <f>Summary!B79</f>
        <v>0</v>
      </c>
      <c r="C62" s="351">
        <f>'Prior Year Comparison'!B74</f>
        <v>0</v>
      </c>
      <c r="D62" s="351">
        <f>'Prior Year Comparison'!C74</f>
        <v>0</v>
      </c>
    </row>
    <row r="63" spans="1:4" x14ac:dyDescent="0.2">
      <c r="A63" s="351" t="str">
        <f>Summary!A80</f>
        <v>Structural Maintenance Plan</v>
      </c>
      <c r="B63" s="353">
        <f>Summary!B80</f>
        <v>0</v>
      </c>
      <c r="C63" s="351">
        <f>'Prior Year Comparison'!B75</f>
        <v>0</v>
      </c>
      <c r="D63" s="351">
        <f>'Prior Year Comparison'!C75</f>
        <v>0</v>
      </c>
    </row>
    <row r="64" spans="1:4" x14ac:dyDescent="0.2">
      <c r="A64" s="351" t="str">
        <f>Summary!A81</f>
        <v>Buildings - Upkeep</v>
      </c>
      <c r="B64" s="353">
        <f>Summary!B81</f>
        <v>6254</v>
      </c>
      <c r="C64" s="351">
        <f>'Prior Year Comparison'!B76</f>
        <v>0</v>
      </c>
      <c r="D64" s="351">
        <f>'Prior Year Comparison'!C76</f>
        <v>0</v>
      </c>
    </row>
    <row r="65" spans="1:4" x14ac:dyDescent="0.2">
      <c r="A65" s="351" t="str">
        <f>Summary!A82</f>
        <v>Revenue Contributions to Capital Projects</v>
      </c>
      <c r="B65" s="353">
        <f>Summary!B82</f>
        <v>0</v>
      </c>
      <c r="C65" s="351">
        <f>'Prior Year Comparison'!B77</f>
        <v>0</v>
      </c>
      <c r="D65" s="351">
        <f>'Prior Year Comparison'!C77</f>
        <v>0</v>
      </c>
    </row>
    <row r="66" spans="1:4" x14ac:dyDescent="0.2">
      <c r="A66" s="351" t="str">
        <f>Summary!A83</f>
        <v>Grounds - Upkeep</v>
      </c>
      <c r="B66" s="353">
        <f>Summary!B83</f>
        <v>2340</v>
      </c>
      <c r="C66" s="351">
        <f>'Prior Year Comparison'!B78</f>
        <v>0</v>
      </c>
      <c r="D66" s="351">
        <f>'Prior Year Comparison'!C78</f>
        <v>0</v>
      </c>
    </row>
    <row r="67" spans="1:4" x14ac:dyDescent="0.2">
      <c r="A67" s="351" t="str">
        <f>Summary!A84</f>
        <v>Cleaning</v>
      </c>
      <c r="B67" s="353">
        <f>Summary!B84</f>
        <v>2437.1999999999998</v>
      </c>
      <c r="C67" s="351">
        <f>'Prior Year Comparison'!B79</f>
        <v>0</v>
      </c>
      <c r="D67" s="351">
        <f>'Prior Year Comparison'!C79</f>
        <v>0</v>
      </c>
    </row>
    <row r="68" spans="1:4" x14ac:dyDescent="0.2">
      <c r="A68" s="351" t="str">
        <f>Summary!A85</f>
        <v>Fuel</v>
      </c>
      <c r="B68" s="353">
        <f>Summary!B85</f>
        <v>7827</v>
      </c>
      <c r="C68" s="351">
        <f>'Prior Year Comparison'!B80</f>
        <v>0</v>
      </c>
      <c r="D68" s="351">
        <f>'Prior Year Comparison'!C80</f>
        <v>0</v>
      </c>
    </row>
    <row r="69" spans="1:4" x14ac:dyDescent="0.2">
      <c r="A69" s="351" t="str">
        <f>Summary!A86</f>
        <v>Water</v>
      </c>
      <c r="B69" s="353">
        <f>Summary!B86</f>
        <v>783</v>
      </c>
      <c r="C69" s="351">
        <f>'Prior Year Comparison'!B81</f>
        <v>0</v>
      </c>
      <c r="D69" s="351">
        <f>'Prior Year Comparison'!C81</f>
        <v>0</v>
      </c>
    </row>
    <row r="70" spans="1:4" x14ac:dyDescent="0.2">
      <c r="A70" s="351" t="str">
        <f>Summary!A87</f>
        <v>Furniture</v>
      </c>
      <c r="B70" s="353">
        <f>Summary!B87</f>
        <v>0</v>
      </c>
      <c r="C70" s="351">
        <f>'Prior Year Comparison'!B82</f>
        <v>0</v>
      </c>
      <c r="D70" s="351">
        <f>'Prior Year Comparison'!C82</f>
        <v>0</v>
      </c>
    </row>
    <row r="71" spans="1:4" x14ac:dyDescent="0.2">
      <c r="A71" s="351" t="str">
        <f>Summary!A88</f>
        <v>Rent and Rates</v>
      </c>
      <c r="B71" s="353">
        <f>Summary!B88</f>
        <v>9980</v>
      </c>
      <c r="C71" s="351">
        <f>'Prior Year Comparison'!B83</f>
        <v>0</v>
      </c>
      <c r="D71" s="351">
        <f>'Prior Year Comparison'!C83</f>
        <v>0</v>
      </c>
    </row>
    <row r="72" spans="1:4" x14ac:dyDescent="0.2">
      <c r="A72" s="351" t="str">
        <f>Summary!A89</f>
        <v>Premises: not in use</v>
      </c>
      <c r="B72" s="353">
        <f>Summary!B89</f>
        <v>0</v>
      </c>
      <c r="C72" s="351">
        <f>'Prior Year Comparison'!B84</f>
        <v>0</v>
      </c>
      <c r="D72" s="351">
        <f>'Prior Year Comparison'!C84</f>
        <v>0</v>
      </c>
    </row>
    <row r="73" spans="1:4" x14ac:dyDescent="0.2">
      <c r="A73" s="351" t="str">
        <f>Summary!A90</f>
        <v>Premises: not in use</v>
      </c>
      <c r="B73" s="353">
        <f>Summary!B90</f>
        <v>0</v>
      </c>
      <c r="C73" s="351">
        <f>'Prior Year Comparison'!B85</f>
        <v>0</v>
      </c>
      <c r="D73" s="351">
        <f>'Prior Year Comparison'!C85</f>
        <v>0</v>
      </c>
    </row>
    <row r="74" spans="1:4" x14ac:dyDescent="0.2">
      <c r="A74" s="351" t="str">
        <f>Summary!A91</f>
        <v>Premises: not in use</v>
      </c>
      <c r="B74" s="353">
        <f>Summary!B91</f>
        <v>0</v>
      </c>
      <c r="C74" s="351">
        <f>'Prior Year Comparison'!B86</f>
        <v>0</v>
      </c>
      <c r="D74" s="351">
        <f>'Prior Year Comparison'!C86</f>
        <v>0</v>
      </c>
    </row>
    <row r="75" spans="1:4" x14ac:dyDescent="0.2">
      <c r="A75" s="351" t="str">
        <f>Summary!A92</f>
        <v>Premises: not in use</v>
      </c>
      <c r="B75" s="353">
        <f>Summary!B92</f>
        <v>0</v>
      </c>
      <c r="C75" s="351">
        <f>'Prior Year Comparison'!B87</f>
        <v>0</v>
      </c>
      <c r="D75" s="351">
        <f>'Prior Year Comparison'!C87</f>
        <v>0</v>
      </c>
    </row>
    <row r="76" spans="1:4" x14ac:dyDescent="0.2">
      <c r="A76" s="351" t="str">
        <f>Summary!A93</f>
        <v>Premises: not in use</v>
      </c>
      <c r="B76" s="353">
        <f>Summary!B93</f>
        <v>0</v>
      </c>
      <c r="C76" s="351">
        <f>'Prior Year Comparison'!B88</f>
        <v>0</v>
      </c>
      <c r="D76" s="351">
        <f>'Prior Year Comparison'!C88</f>
        <v>0</v>
      </c>
    </row>
    <row r="77" spans="1:4" x14ac:dyDescent="0.2">
      <c r="A77" s="351" t="str">
        <f>Summary!A94</f>
        <v>Premises: not in use</v>
      </c>
      <c r="B77" s="353">
        <f>Summary!B94</f>
        <v>0</v>
      </c>
      <c r="C77" s="351">
        <f>'Prior Year Comparison'!B89</f>
        <v>0</v>
      </c>
      <c r="D77" s="351">
        <f>'Prior Year Comparison'!C89</f>
        <v>0</v>
      </c>
    </row>
    <row r="78" spans="1:4" x14ac:dyDescent="0.2">
      <c r="A78" s="351" t="str">
        <f>Summary!A95</f>
        <v>Curriculum</v>
      </c>
      <c r="B78" s="353">
        <f>Summary!B95</f>
        <v>4264</v>
      </c>
      <c r="C78" s="351">
        <f>'Prior Year Comparison'!B90</f>
        <v>0</v>
      </c>
      <c r="D78" s="351">
        <f>'Prior Year Comparison'!C90</f>
        <v>0</v>
      </c>
    </row>
    <row r="79" spans="1:4" x14ac:dyDescent="0.2">
      <c r="A79" s="351" t="str">
        <f>Summary!A96</f>
        <v>Fees Expenditure - Pupils</v>
      </c>
      <c r="B79" s="353">
        <f>Summary!B96</f>
        <v>0</v>
      </c>
      <c r="C79" s="351">
        <f>'Prior Year Comparison'!B91</f>
        <v>0</v>
      </c>
      <c r="D79" s="351">
        <f>'Prior Year Comparison'!C91</f>
        <v>0</v>
      </c>
    </row>
    <row r="80" spans="1:4" x14ac:dyDescent="0.2">
      <c r="A80" s="351" t="str">
        <f>Summary!A97</f>
        <v>Swimming Expenditure</v>
      </c>
      <c r="B80" s="353">
        <f>Summary!B97</f>
        <v>960</v>
      </c>
      <c r="C80" s="351">
        <f>'Prior Year Comparison'!B92</f>
        <v>0</v>
      </c>
      <c r="D80" s="351">
        <f>'Prior Year Comparison'!C92</f>
        <v>0</v>
      </c>
    </row>
    <row r="81" spans="1:4" x14ac:dyDescent="0.2">
      <c r="A81" s="351" t="str">
        <f>Summary!A98</f>
        <v>Curriculum: not in use</v>
      </c>
      <c r="B81" s="353">
        <f>Summary!B98</f>
        <v>0</v>
      </c>
      <c r="C81" s="351">
        <f>'Prior Year Comparison'!B93</f>
        <v>0</v>
      </c>
      <c r="D81" s="351">
        <f>'Prior Year Comparison'!C93</f>
        <v>0</v>
      </c>
    </row>
    <row r="82" spans="1:4" x14ac:dyDescent="0.2">
      <c r="A82" s="351" t="str">
        <f>Summary!A99</f>
        <v>Curriculum: not in use</v>
      </c>
      <c r="B82" s="353">
        <f>Summary!B99</f>
        <v>0</v>
      </c>
      <c r="C82" s="351">
        <f>'Prior Year Comparison'!B94</f>
        <v>0</v>
      </c>
      <c r="D82" s="351">
        <f>'Prior Year Comparison'!C94</f>
        <v>0</v>
      </c>
    </row>
    <row r="83" spans="1:4" x14ac:dyDescent="0.2">
      <c r="A83" s="351" t="str">
        <f>Summary!A100</f>
        <v>Curriculum: not in use</v>
      </c>
      <c r="B83" s="353">
        <f>Summary!B100</f>
        <v>0</v>
      </c>
      <c r="C83" s="351">
        <f>'Prior Year Comparison'!B95</f>
        <v>0</v>
      </c>
      <c r="D83" s="351">
        <f>'Prior Year Comparison'!C95</f>
        <v>0</v>
      </c>
    </row>
    <row r="84" spans="1:4" x14ac:dyDescent="0.2">
      <c r="A84" s="351" t="str">
        <f>Summary!A101</f>
        <v>Curriculum: not in use</v>
      </c>
      <c r="B84" s="353">
        <f>Summary!B101</f>
        <v>0</v>
      </c>
      <c r="C84" s="351">
        <f>'Prior Year Comparison'!B96</f>
        <v>0</v>
      </c>
      <c r="D84" s="351">
        <f>'Prior Year Comparison'!C96</f>
        <v>0</v>
      </c>
    </row>
    <row r="85" spans="1:4" x14ac:dyDescent="0.2">
      <c r="A85" s="351" t="str">
        <f>Summary!A102</f>
        <v>Curriculum: not in use</v>
      </c>
      <c r="B85" s="353">
        <f>Summary!B102</f>
        <v>0</v>
      </c>
      <c r="C85" s="351">
        <f>'Prior Year Comparison'!B97</f>
        <v>0</v>
      </c>
      <c r="D85" s="351">
        <f>'Prior Year Comparison'!C97</f>
        <v>0</v>
      </c>
    </row>
    <row r="86" spans="1:4" x14ac:dyDescent="0.2">
      <c r="A86" s="351" t="str">
        <f>Summary!A103</f>
        <v>Curriculum: not in use</v>
      </c>
      <c r="B86" s="353">
        <f>Summary!B103</f>
        <v>0</v>
      </c>
      <c r="C86" s="351">
        <f>'Prior Year Comparison'!B98</f>
        <v>0</v>
      </c>
      <c r="D86" s="351">
        <f>'Prior Year Comparison'!C98</f>
        <v>0</v>
      </c>
    </row>
    <row r="87" spans="1:4" x14ac:dyDescent="0.2">
      <c r="A87" s="351" t="str">
        <f>Summary!D60</f>
        <v>Curriculum: not in use</v>
      </c>
      <c r="B87" s="353">
        <f>Summary!E60</f>
        <v>0</v>
      </c>
      <c r="C87" s="351">
        <f>'Prior Year Comparison'!B99</f>
        <v>0</v>
      </c>
      <c r="D87" s="351">
        <f>'Prior Year Comparison'!C99</f>
        <v>0</v>
      </c>
    </row>
    <row r="88" spans="1:4" x14ac:dyDescent="0.2">
      <c r="A88" s="351" t="str">
        <f>Summary!D61</f>
        <v>Staff Transport</v>
      </c>
      <c r="B88" s="353">
        <f>Summary!E61</f>
        <v>167</v>
      </c>
      <c r="C88" s="351">
        <f>'Prior Year Comparison'!B100</f>
        <v>0</v>
      </c>
      <c r="D88" s="351">
        <f>'Prior Year Comparison'!C100</f>
        <v>0</v>
      </c>
    </row>
    <row r="89" spans="1:4" x14ac:dyDescent="0.2">
      <c r="A89" s="351" t="str">
        <f>Summary!D62</f>
        <v>Pupil Transport</v>
      </c>
      <c r="B89" s="353">
        <f>Summary!E62</f>
        <v>0</v>
      </c>
      <c r="C89" s="351">
        <f>'Prior Year Comparison'!B101</f>
        <v>0</v>
      </c>
      <c r="D89" s="351">
        <f>'Prior Year Comparison'!C101</f>
        <v>0</v>
      </c>
    </row>
    <row r="90" spans="1:4" x14ac:dyDescent="0.2">
      <c r="A90" s="351" t="str">
        <f>Summary!D63</f>
        <v>Transport: not in use</v>
      </c>
      <c r="B90" s="353">
        <f>Summary!E63</f>
        <v>0</v>
      </c>
      <c r="C90" s="351">
        <f>'Prior Year Comparison'!B102</f>
        <v>0</v>
      </c>
      <c r="D90" s="351">
        <f>'Prior Year Comparison'!C102</f>
        <v>0</v>
      </c>
    </row>
    <row r="91" spans="1:4" x14ac:dyDescent="0.2">
      <c r="A91" s="351" t="str">
        <f>Summary!D64</f>
        <v>Transport: not in use</v>
      </c>
      <c r="B91" s="353">
        <f>Summary!E64</f>
        <v>0</v>
      </c>
      <c r="C91" s="351">
        <f>'Prior Year Comparison'!B103</f>
        <v>0</v>
      </c>
      <c r="D91" s="351">
        <f>'Prior Year Comparison'!C103</f>
        <v>0</v>
      </c>
    </row>
    <row r="92" spans="1:4" x14ac:dyDescent="0.2">
      <c r="A92" s="351" t="str">
        <f>Summary!D65</f>
        <v>Office Expenses</v>
      </c>
      <c r="B92" s="353">
        <f>Summary!E65</f>
        <v>865</v>
      </c>
      <c r="C92" s="351">
        <f>'Prior Year Comparison'!B104</f>
        <v>0</v>
      </c>
      <c r="D92" s="351">
        <f>'Prior Year Comparison'!C104</f>
        <v>0</v>
      </c>
    </row>
    <row r="93" spans="1:4" x14ac:dyDescent="0.2">
      <c r="A93" s="351" t="str">
        <f>Summary!D66</f>
        <v>Telephones</v>
      </c>
      <c r="B93" s="353">
        <f>Summary!E66</f>
        <v>1246</v>
      </c>
      <c r="C93" s="351">
        <f>'Prior Year Comparison'!B105</f>
        <v>0</v>
      </c>
      <c r="D93" s="351">
        <f>'Prior Year Comparison'!C105</f>
        <v>0</v>
      </c>
    </row>
    <row r="94" spans="1:4" x14ac:dyDescent="0.2">
      <c r="A94" s="351" t="str">
        <f>Summary!D67</f>
        <v>Reprographics</v>
      </c>
      <c r="B94" s="353">
        <f>Summary!E67</f>
        <v>2425</v>
      </c>
      <c r="C94" s="351">
        <f>'Prior Year Comparison'!B106</f>
        <v>0</v>
      </c>
      <c r="D94" s="351">
        <f>'Prior Year Comparison'!C106</f>
        <v>0</v>
      </c>
    </row>
    <row r="95" spans="1:4" x14ac:dyDescent="0.2">
      <c r="A95" s="351" t="str">
        <f>Summary!D68</f>
        <v>Administrative: not in use</v>
      </c>
      <c r="B95" s="353">
        <f>Summary!E68</f>
        <v>0</v>
      </c>
      <c r="C95" s="351">
        <f>'Prior Year Comparison'!B107</f>
        <v>0</v>
      </c>
      <c r="D95" s="351">
        <f>'Prior Year Comparison'!C107</f>
        <v>0</v>
      </c>
    </row>
    <row r="96" spans="1:4" x14ac:dyDescent="0.2">
      <c r="A96" s="351" t="str">
        <f>Summary!D69</f>
        <v>Administrative: not in use</v>
      </c>
      <c r="B96" s="353">
        <f>Summary!E69</f>
        <v>0</v>
      </c>
      <c r="C96" s="351">
        <f>'Prior Year Comparison'!B108</f>
        <v>0</v>
      </c>
      <c r="D96" s="351">
        <f>'Prior Year Comparison'!C108</f>
        <v>0</v>
      </c>
    </row>
    <row r="97" spans="1:4" x14ac:dyDescent="0.2">
      <c r="A97" s="351" t="str">
        <f>Summary!D70</f>
        <v>Administrative: not in use</v>
      </c>
      <c r="B97" s="353">
        <f>Summary!E70</f>
        <v>0</v>
      </c>
      <c r="C97" s="351">
        <f>'Prior Year Comparison'!B109</f>
        <v>0</v>
      </c>
      <c r="D97" s="351">
        <f>'Prior Year Comparison'!C109</f>
        <v>0</v>
      </c>
    </row>
    <row r="98" spans="1:4" x14ac:dyDescent="0.2">
      <c r="A98" s="351" t="str">
        <f>Summary!D71</f>
        <v>Administrative: not in use</v>
      </c>
      <c r="B98" s="353">
        <f>Summary!E71</f>
        <v>0</v>
      </c>
      <c r="C98" s="351">
        <f>'Prior Year Comparison'!B110</f>
        <v>0</v>
      </c>
      <c r="D98" s="351">
        <f>'Prior Year Comparison'!C110</f>
        <v>0</v>
      </c>
    </row>
    <row r="99" spans="1:4" x14ac:dyDescent="0.2">
      <c r="A99" s="351" t="str">
        <f>Summary!D72</f>
        <v>Administrative: not in use</v>
      </c>
      <c r="B99" s="353">
        <f>Summary!E72</f>
        <v>0</v>
      </c>
      <c r="C99" s="351">
        <f>'Prior Year Comparison'!B111</f>
        <v>0</v>
      </c>
      <c r="D99" s="351">
        <f>'Prior Year Comparison'!C111</f>
        <v>0</v>
      </c>
    </row>
    <row r="100" spans="1:4" x14ac:dyDescent="0.2">
      <c r="A100" s="351" t="str">
        <f>Summary!D73</f>
        <v>Administrative: not in use</v>
      </c>
      <c r="B100" s="353">
        <f>Summary!E73</f>
        <v>0</v>
      </c>
      <c r="C100" s="351">
        <f>'Prior Year Comparison'!B112</f>
        <v>0</v>
      </c>
      <c r="D100" s="351">
        <f>'Prior Year Comparison'!C112</f>
        <v>0</v>
      </c>
    </row>
    <row r="101" spans="1:4" x14ac:dyDescent="0.2">
      <c r="A101" s="351" t="str">
        <f>Summary!D74</f>
        <v>Professional Fees Exp.</v>
      </c>
      <c r="B101" s="353">
        <f>Summary!E74</f>
        <v>23611</v>
      </c>
      <c r="C101" s="351">
        <f>'Prior Year Comparison'!B113</f>
        <v>0</v>
      </c>
      <c r="D101" s="351">
        <f>'Prior Year Comparison'!C113</f>
        <v>0</v>
      </c>
    </row>
    <row r="102" spans="1:4" x14ac:dyDescent="0.2">
      <c r="A102" s="351" t="str">
        <f>Summary!D75</f>
        <v>Other Insurance Premiums</v>
      </c>
      <c r="B102" s="353">
        <f>Summary!E75</f>
        <v>2827</v>
      </c>
      <c r="C102" s="351">
        <f>'Prior Year Comparison'!B114</f>
        <v>0</v>
      </c>
      <c r="D102" s="351">
        <f>'Prior Year Comparison'!C114</f>
        <v>0</v>
      </c>
    </row>
    <row r="103" spans="1:4" x14ac:dyDescent="0.2">
      <c r="A103" s="351" t="str">
        <f>Summary!D76</f>
        <v>Govs Expenses</v>
      </c>
      <c r="B103" s="353">
        <f>Summary!E76</f>
        <v>100</v>
      </c>
      <c r="C103" s="351">
        <f>'Prior Year Comparison'!B115</f>
        <v>0</v>
      </c>
      <c r="D103" s="351">
        <f>'Prior Year Comparison'!C115</f>
        <v>0</v>
      </c>
    </row>
    <row r="104" spans="1:4" x14ac:dyDescent="0.2">
      <c r="A104" s="351" t="str">
        <f>Summary!D77</f>
        <v>Pupil Support</v>
      </c>
      <c r="B104" s="353">
        <f>Summary!E77</f>
        <v>2973</v>
      </c>
      <c r="C104" s="351">
        <f>'Prior Year Comparison'!B116</f>
        <v>0</v>
      </c>
      <c r="D104" s="351">
        <f>'Prior Year Comparison'!C116</f>
        <v>0</v>
      </c>
    </row>
    <row r="105" spans="1:4" x14ac:dyDescent="0.2">
      <c r="A105" s="351" t="str">
        <f>Summary!D78</f>
        <v>Music Expenditure</v>
      </c>
      <c r="B105" s="353">
        <f>Summary!E78</f>
        <v>0</v>
      </c>
      <c r="C105" s="351">
        <f>'Prior Year Comparison'!B117</f>
        <v>0</v>
      </c>
      <c r="D105" s="351">
        <f>'Prior Year Comparison'!C117</f>
        <v>0</v>
      </c>
    </row>
    <row r="106" spans="1:4" x14ac:dyDescent="0.2">
      <c r="A106" s="351" t="str">
        <f>Summary!D79</f>
        <v xml:space="preserve">Catering  </v>
      </c>
      <c r="B106" s="353">
        <f>Summary!E79</f>
        <v>7612</v>
      </c>
      <c r="C106" s="351">
        <f>'Prior Year Comparison'!B118</f>
        <v>0</v>
      </c>
      <c r="D106" s="351">
        <f>'Prior Year Comparison'!C118</f>
        <v>0</v>
      </c>
    </row>
    <row r="107" spans="1:4" x14ac:dyDescent="0.2">
      <c r="A107" s="351" t="str">
        <f>Summary!D80</f>
        <v>De-delegated Funds (excl. ESG)</v>
      </c>
      <c r="B107" s="353">
        <f>Summary!E80</f>
        <v>198</v>
      </c>
      <c r="C107" s="351">
        <f>'Prior Year Comparison'!B119</f>
        <v>0</v>
      </c>
      <c r="D107" s="351">
        <f>'Prior Year Comparison'!C119</f>
        <v>0</v>
      </c>
    </row>
    <row r="108" spans="1:4" x14ac:dyDescent="0.2">
      <c r="A108" s="351" t="str">
        <f>Summary!D81</f>
        <v>Pupil Premium</v>
      </c>
      <c r="B108" s="353">
        <f>Summary!E81</f>
        <v>10760</v>
      </c>
      <c r="C108" s="351">
        <f>'Prior Year Comparison'!B120</f>
        <v>0</v>
      </c>
      <c r="D108" s="351">
        <f>'Prior Year Comparison'!C120</f>
        <v>0</v>
      </c>
    </row>
    <row r="109" spans="1:4" x14ac:dyDescent="0.2">
      <c r="A109" s="351" t="str">
        <f>Summary!D82</f>
        <v>Pupil Premium C/F 19/20</v>
      </c>
      <c r="B109" s="353">
        <f>Summary!E82</f>
        <v>6216</v>
      </c>
      <c r="C109" s="351">
        <f>'Prior Year Comparison'!B121</f>
        <v>0</v>
      </c>
      <c r="D109" s="351">
        <f>'Prior Year Comparison'!C121</f>
        <v>0</v>
      </c>
    </row>
    <row r="110" spans="1:4" x14ac:dyDescent="0.2">
      <c r="A110" s="351" t="str">
        <f>Summary!D83</f>
        <v>PE &amp; Sports Grant</v>
      </c>
      <c r="B110" s="353">
        <f>Summary!E83</f>
        <v>16730</v>
      </c>
      <c r="C110" s="351">
        <f>'Prior Year Comparison'!B122</f>
        <v>0</v>
      </c>
      <c r="D110" s="351">
        <f>'Prior Year Comparison'!C122</f>
        <v>0</v>
      </c>
    </row>
    <row r="111" spans="1:4" x14ac:dyDescent="0.2">
      <c r="A111" s="351" t="str">
        <f>Summary!D84</f>
        <v>PE &amp; Sports Grant C/F 19/20</v>
      </c>
      <c r="B111" s="353">
        <f>Summary!E84</f>
        <v>9826</v>
      </c>
      <c r="C111" s="351">
        <f>'Prior Year Comparison'!B123</f>
        <v>0</v>
      </c>
      <c r="D111" s="351">
        <f>'Prior Year Comparison'!C123</f>
        <v>0</v>
      </c>
    </row>
    <row r="112" spans="1:4" x14ac:dyDescent="0.2">
      <c r="A112" s="351" t="str">
        <f>Summary!D85</f>
        <v>Other costs: not in use</v>
      </c>
      <c r="B112" s="353">
        <f>Summary!E85</f>
        <v>0</v>
      </c>
      <c r="C112" s="351">
        <f>'Prior Year Comparison'!B124</f>
        <v>0</v>
      </c>
      <c r="D112" s="351">
        <f>'Prior Year Comparison'!C124</f>
        <v>0</v>
      </c>
    </row>
    <row r="113" spans="1:7" x14ac:dyDescent="0.2">
      <c r="A113" s="351" t="str">
        <f>Summary!D86</f>
        <v>Other costs: not in use</v>
      </c>
      <c r="B113" s="353">
        <f>Summary!E86</f>
        <v>0</v>
      </c>
      <c r="C113" s="351">
        <f>'Prior Year Comparison'!B125</f>
        <v>0</v>
      </c>
      <c r="D113" s="351">
        <f>'Prior Year Comparison'!C125</f>
        <v>0</v>
      </c>
    </row>
    <row r="114" spans="1:7" x14ac:dyDescent="0.2">
      <c r="A114" s="351" t="str">
        <f>Summary!D87</f>
        <v>Other costs: not in use</v>
      </c>
      <c r="B114" s="353">
        <f>Summary!E87</f>
        <v>0</v>
      </c>
      <c r="C114" s="351">
        <f>'Prior Year Comparison'!B126</f>
        <v>0</v>
      </c>
      <c r="D114" s="351">
        <f>'Prior Year Comparison'!C126</f>
        <v>0</v>
      </c>
    </row>
    <row r="115" spans="1:7" x14ac:dyDescent="0.2">
      <c r="A115" s="351" t="str">
        <f>Summary!D88</f>
        <v>Other costs: not in use</v>
      </c>
      <c r="B115" s="353">
        <f>Summary!E88</f>
        <v>0</v>
      </c>
      <c r="C115" s="351">
        <f>'Prior Year Comparison'!B127</f>
        <v>0</v>
      </c>
      <c r="D115" s="351">
        <f>'Prior Year Comparison'!C127</f>
        <v>0</v>
      </c>
    </row>
    <row r="116" spans="1:7" x14ac:dyDescent="0.2">
      <c r="A116" s="351" t="str">
        <f>Summary!D89</f>
        <v>Other costs: not in use</v>
      </c>
      <c r="B116" s="353">
        <f>Summary!E89</f>
        <v>0</v>
      </c>
      <c r="C116" s="351">
        <f>'Prior Year Comparison'!B128</f>
        <v>0</v>
      </c>
      <c r="D116" s="351">
        <f>'Prior Year Comparison'!C128</f>
        <v>0</v>
      </c>
    </row>
    <row r="117" spans="1:7" x14ac:dyDescent="0.2">
      <c r="A117" s="351" t="str">
        <f>Summary!D90</f>
        <v>Other costs: not in use</v>
      </c>
      <c r="B117" s="353">
        <f>Summary!E90</f>
        <v>0</v>
      </c>
      <c r="C117" s="351">
        <f>'Prior Year Comparison'!B129</f>
        <v>0</v>
      </c>
      <c r="D117" s="351">
        <f>'Prior Year Comparison'!C129</f>
        <v>0</v>
      </c>
    </row>
    <row r="118" spans="1:7" x14ac:dyDescent="0.2">
      <c r="A118" s="351" t="str">
        <f>Summary!D91</f>
        <v>Other costs: not in use</v>
      </c>
      <c r="B118" s="353">
        <f>Summary!E91</f>
        <v>0</v>
      </c>
      <c r="C118" s="351">
        <f>'Prior Year Comparison'!B130</f>
        <v>0</v>
      </c>
      <c r="D118" s="351">
        <f>'Prior Year Comparison'!C130</f>
        <v>0</v>
      </c>
    </row>
    <row r="119" spans="1:7" x14ac:dyDescent="0.2">
      <c r="A119" s="351" t="str">
        <f>Summary!D92</f>
        <v>Other costs: not in use</v>
      </c>
      <c r="B119" s="353">
        <f>Summary!E92</f>
        <v>0</v>
      </c>
      <c r="C119" s="351">
        <f>'Prior Year Comparison'!B131</f>
        <v>0</v>
      </c>
      <c r="D119" s="351">
        <f>'Prior Year Comparison'!C131</f>
        <v>0</v>
      </c>
    </row>
    <row r="120" spans="1:7" x14ac:dyDescent="0.2">
      <c r="A120" s="351" t="str">
        <f>Summary!D93</f>
        <v>Other costs: not in use</v>
      </c>
      <c r="B120" s="353">
        <f>Summary!E93</f>
        <v>0</v>
      </c>
      <c r="C120" s="354">
        <f>'Prior Year Comparison'!B132</f>
        <v>0</v>
      </c>
      <c r="D120" s="351">
        <f>'Prior Year Comparison'!C132</f>
        <v>0</v>
      </c>
      <c r="E120" s="390"/>
      <c r="F120" s="390"/>
      <c r="G120" s="390"/>
    </row>
    <row r="121" spans="1:7" x14ac:dyDescent="0.2">
      <c r="A121" s="351" t="str">
        <f>Summary!D94</f>
        <v>Other costs: not in use</v>
      </c>
      <c r="B121" s="353">
        <f>Summary!E94</f>
        <v>0</v>
      </c>
      <c r="C121" s="354">
        <f>'Prior Year Comparison'!B133</f>
        <v>0</v>
      </c>
      <c r="D121" s="351">
        <f>'Prior Year Comparison'!C133</f>
        <v>0</v>
      </c>
      <c r="E121" s="1298"/>
      <c r="F121" s="1298"/>
      <c r="G121" s="1298"/>
    </row>
    <row r="122" spans="1:7" x14ac:dyDescent="0.2">
      <c r="A122" s="351" t="str">
        <f>Summary!D95</f>
        <v>Other costs: not in use</v>
      </c>
      <c r="B122" s="353">
        <f>Summary!E95</f>
        <v>0</v>
      </c>
      <c r="C122" s="354">
        <f>'Prior Year Comparison'!B134</f>
        <v>0</v>
      </c>
      <c r="D122" s="351">
        <f>'Prior Year Comparison'!C134</f>
        <v>0</v>
      </c>
      <c r="E122" s="390"/>
      <c r="F122" s="390"/>
      <c r="G122" s="390"/>
    </row>
    <row r="123" spans="1:7" x14ac:dyDescent="0.2">
      <c r="A123" s="351" t="str">
        <f>Summary!D96</f>
        <v>Other costs: not in use</v>
      </c>
      <c r="B123" s="353">
        <f>Summary!E96</f>
        <v>0</v>
      </c>
      <c r="C123" s="354">
        <f>'Prior Year Comparison'!B135</f>
        <v>0</v>
      </c>
      <c r="D123" s="351">
        <f>'Prior Year Comparison'!C135</f>
        <v>0</v>
      </c>
    </row>
    <row r="124" spans="1:7" x14ac:dyDescent="0.2">
      <c r="A124" s="351" t="str">
        <f>Summary!D97</f>
        <v>Other costs: not in use</v>
      </c>
      <c r="B124" s="353">
        <f>Summary!E97</f>
        <v>0</v>
      </c>
      <c r="C124" s="354">
        <f>'Prior Year Comparison'!B136</f>
        <v>0</v>
      </c>
      <c r="D124" s="351">
        <f>'Prior Year Comparison'!C136</f>
        <v>0</v>
      </c>
    </row>
    <row r="125" spans="1:7" x14ac:dyDescent="0.2">
      <c r="A125" s="351" t="str">
        <f>Summary!D98</f>
        <v>Other costs: not in use</v>
      </c>
      <c r="B125" s="353">
        <f>Summary!E98</f>
        <v>0</v>
      </c>
      <c r="C125" s="354">
        <f>'Prior Year Comparison'!B137</f>
        <v>0</v>
      </c>
      <c r="D125" s="351">
        <f>'Prior Year Comparison'!C137</f>
        <v>0</v>
      </c>
    </row>
    <row r="126" spans="1:7" x14ac:dyDescent="0.2">
      <c r="A126" s="351" t="str">
        <f>Summary!D99</f>
        <v>Other costs: not in use</v>
      </c>
      <c r="B126" s="353">
        <f>Summary!E99</f>
        <v>0</v>
      </c>
      <c r="C126" s="354">
        <f>'Prior Year Comparison'!B138</f>
        <v>0</v>
      </c>
      <c r="D126" s="351">
        <f>'Prior Year Comparison'!C138</f>
        <v>0</v>
      </c>
    </row>
    <row r="127" spans="1:7" x14ac:dyDescent="0.2">
      <c r="A127" s="351" t="str">
        <f>Summary!D100</f>
        <v>Other costs: not in use</v>
      </c>
      <c r="B127" s="353">
        <f>Summary!E100</f>
        <v>0</v>
      </c>
      <c r="C127" s="354">
        <f>'Prior Year Comparison'!B139</f>
        <v>0</v>
      </c>
      <c r="D127" s="351">
        <f>'Prior Year Comparison'!C139</f>
        <v>0</v>
      </c>
    </row>
    <row r="128" spans="1:7" x14ac:dyDescent="0.2">
      <c r="A128" s="351" t="str">
        <f>Summary!D101</f>
        <v>Other costs: not in use</v>
      </c>
      <c r="B128" s="353">
        <f>Summary!E101</f>
        <v>0</v>
      </c>
      <c r="C128" s="354">
        <f>'Prior Year Comparison'!B140</f>
        <v>0</v>
      </c>
      <c r="D128" s="351">
        <f>'Prior Year Comparison'!C140</f>
        <v>0</v>
      </c>
    </row>
    <row r="129" spans="1:4" x14ac:dyDescent="0.2">
      <c r="A129" s="351" t="str">
        <f>Summary!D102</f>
        <v>Other costs: not in use</v>
      </c>
      <c r="B129" s="353">
        <f>Summary!E102</f>
        <v>0</v>
      </c>
      <c r="C129" s="354">
        <f>'Prior Year Comparison'!B141</f>
        <v>0</v>
      </c>
      <c r="D129" s="351">
        <f>'Prior Year Comparison'!C141</f>
        <v>0</v>
      </c>
    </row>
    <row r="130" spans="1:4" x14ac:dyDescent="0.2">
      <c r="A130" s="351" t="str">
        <f>Summary!D103</f>
        <v>Other costs: not in use</v>
      </c>
      <c r="B130" s="353">
        <f>Summary!E103</f>
        <v>0</v>
      </c>
      <c r="C130" s="351">
        <f>'Prior Year Comparison'!B142</f>
        <v>0</v>
      </c>
      <c r="D130" s="351">
        <f>'Prior Year Comparison'!C142</f>
        <v>0</v>
      </c>
    </row>
    <row r="131" spans="1:4" x14ac:dyDescent="0.2">
      <c r="A131" t="str">
        <f>Capital!C14</f>
        <v>This should equal your estimate of B03 + B05 on your 2019-20 year end CFR return, and must not include funds held by the LA</v>
      </c>
      <c r="B131" s="368">
        <f>Capital!H13</f>
        <v>0</v>
      </c>
    </row>
    <row r="132" spans="1:4" x14ac:dyDescent="0.2">
      <c r="A132" t="str">
        <f>Capital!C18</f>
        <v>Formula Capital Grant to be claimed in 2020-21 (see above)</v>
      </c>
      <c r="B132" s="368">
        <f>Capital!H18</f>
        <v>0</v>
      </c>
    </row>
    <row r="133" spans="1:4" x14ac:dyDescent="0.2">
      <c r="A133" t="str">
        <f>Capital!C19</f>
        <v>Joint Funding</v>
      </c>
      <c r="B133" s="368">
        <f>Capital!H19</f>
        <v>0</v>
      </c>
    </row>
    <row r="134" spans="1:4" x14ac:dyDescent="0.2">
      <c r="A134" t="str">
        <f>Capital!C20</f>
        <v>School Travel Plan Funding</v>
      </c>
      <c r="B134" s="368">
        <f>Capital!H20</f>
        <v>0</v>
      </c>
    </row>
    <row r="135" spans="1:4" x14ac:dyDescent="0.2">
      <c r="A135" t="str">
        <f>Capital!C21</f>
        <v>Direct Revenue Financing (enter on Expenditure page)</v>
      </c>
      <c r="B135" s="368">
        <f>Capital!H21</f>
        <v>0</v>
      </c>
    </row>
    <row r="136" spans="1:4" x14ac:dyDescent="0.2">
      <c r="A136" t="str">
        <f>Capital!C22</f>
        <v>Other 1 (Please enter description here)</v>
      </c>
      <c r="B136" s="368">
        <f>Capital!H22</f>
        <v>0</v>
      </c>
    </row>
    <row r="137" spans="1:4" x14ac:dyDescent="0.2">
      <c r="A137" t="str">
        <f>Capital!C23</f>
        <v>Other 2 (Please enter description here)</v>
      </c>
      <c r="B137" s="368">
        <f>Capital!H23</f>
        <v>0</v>
      </c>
    </row>
    <row r="138" spans="1:4" x14ac:dyDescent="0.2">
      <c r="A138" t="str">
        <f>Capital!C24</f>
        <v>Other 3 (Please enter description here)</v>
      </c>
      <c r="B138" s="368">
        <f>Capital!H24</f>
        <v>0</v>
      </c>
    </row>
    <row r="139" spans="1:4" x14ac:dyDescent="0.2">
      <c r="A139" t="str">
        <f>Capital!C30</f>
        <v>Project 1 (Please enter description here)</v>
      </c>
      <c r="B139" s="368">
        <f>Capital!H30</f>
        <v>0</v>
      </c>
    </row>
    <row r="140" spans="1:4" x14ac:dyDescent="0.2">
      <c r="A140" t="str">
        <f>Capital!C31</f>
        <v>Project 2 (Please enter description here)</v>
      </c>
      <c r="B140" s="368">
        <f>Capital!H31</f>
        <v>0</v>
      </c>
    </row>
    <row r="141" spans="1:4" x14ac:dyDescent="0.2">
      <c r="A141" t="str">
        <f>Capital!C32</f>
        <v>Project 3 (Please enter description here)</v>
      </c>
      <c r="B141" s="368">
        <f>Capital!H32</f>
        <v>0</v>
      </c>
    </row>
    <row r="142" spans="1:4" x14ac:dyDescent="0.2">
      <c r="A142" t="str">
        <f>Capital!C33</f>
        <v>Project 4 (Please enter description here)</v>
      </c>
      <c r="B142" s="368">
        <f>Capital!H33</f>
        <v>0</v>
      </c>
    </row>
    <row r="143" spans="1:4" x14ac:dyDescent="0.2">
      <c r="A143" t="str">
        <f>Capital!C34</f>
        <v>Project 5 (Please enter description here)</v>
      </c>
      <c r="B143" s="368">
        <f>Capital!H34</f>
        <v>0</v>
      </c>
    </row>
    <row r="144" spans="1:4" x14ac:dyDescent="0.2">
      <c r="A144" t="str">
        <f>Capital!C35</f>
        <v>Project 6 (Please enter description here)</v>
      </c>
      <c r="B144" s="975">
        <f>Capital!H35</f>
        <v>0</v>
      </c>
    </row>
    <row r="145" spans="1:2" x14ac:dyDescent="0.2">
      <c r="A145" s="562" t="s">
        <v>538</v>
      </c>
      <c r="B145" s="353">
        <f>Expenditure!F578</f>
        <v>11156</v>
      </c>
    </row>
  </sheetData>
  <mergeCells count="2">
    <mergeCell ref="E121:G121"/>
    <mergeCell ref="F3:I7"/>
  </mergeCells>
  <phoneticPr fontId="30" type="noConversion"/>
  <pageMargins left="0.75" right="0.75" top="1" bottom="1" header="0.5" footer="0.5"/>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9"/>
    <pageSetUpPr fitToPage="1"/>
  </sheetPr>
  <dimension ref="A1:Y806"/>
  <sheetViews>
    <sheetView zoomScaleNormal="100" zoomScaleSheetLayoutView="100" workbookViewId="0">
      <pane ySplit="1" topLeftCell="A56" activePane="bottomLeft" state="frozen"/>
      <selection activeCell="F27" sqref="F27"/>
      <selection pane="bottomLeft" activeCell="A66" sqref="A66"/>
    </sheetView>
  </sheetViews>
  <sheetFormatPr defaultColWidth="9.140625" defaultRowHeight="14.25" x14ac:dyDescent="0.2"/>
  <cols>
    <col min="1" max="1" width="3.7109375" style="814" customWidth="1"/>
    <col min="2" max="2" width="83.85546875" style="805" customWidth="1"/>
    <col min="3" max="3" width="1.42578125" style="806" customWidth="1"/>
    <col min="4" max="4" width="7.140625" style="806" customWidth="1"/>
    <col min="5" max="22" width="9.140625" style="806"/>
    <col min="23" max="16384" width="9.140625" style="807"/>
  </cols>
  <sheetData>
    <row r="1" spans="1:25" s="801" customFormat="1" ht="51.75" customHeight="1" x14ac:dyDescent="0.2">
      <c r="A1" s="1013" t="str">
        <f>"Notes of Guidance on Completing the "&amp;'Fin.Yr Lookups'!A5&amp;" Budget Planning Spreadsheet"</f>
        <v>Notes of Guidance on Completing the 2020-21 Budget Planning Spreadsheet</v>
      </c>
      <c r="B1" s="1013"/>
      <c r="C1" s="802"/>
      <c r="D1" s="803" t="s">
        <v>1021</v>
      </c>
      <c r="E1" s="1012" t="s">
        <v>1022</v>
      </c>
      <c r="F1" s="1012"/>
      <c r="G1" s="1012"/>
      <c r="H1" s="1012"/>
      <c r="I1" s="1012"/>
      <c r="J1" s="1012"/>
      <c r="K1" s="1012"/>
      <c r="L1" s="1012"/>
      <c r="M1" s="802"/>
      <c r="N1" s="802"/>
      <c r="O1" s="802"/>
      <c r="P1" s="802"/>
      <c r="Q1" s="802"/>
      <c r="R1" s="802"/>
      <c r="S1" s="802"/>
      <c r="T1" s="802"/>
      <c r="U1" s="802"/>
      <c r="V1" s="802"/>
      <c r="W1" s="802"/>
      <c r="X1" s="802"/>
      <c r="Y1" s="802"/>
    </row>
    <row r="2" spans="1:25" ht="3" customHeight="1" x14ac:dyDescent="0.2">
      <c r="A2" s="804"/>
      <c r="E2" s="1012"/>
      <c r="F2" s="1012"/>
      <c r="G2" s="1012"/>
      <c r="H2" s="1012"/>
      <c r="I2" s="1012"/>
      <c r="J2" s="1012"/>
      <c r="K2" s="1012"/>
      <c r="L2" s="1012"/>
      <c r="W2" s="806"/>
      <c r="X2" s="806"/>
      <c r="Y2" s="806"/>
    </row>
    <row r="3" spans="1:25" ht="30.75" customHeight="1" x14ac:dyDescent="0.2">
      <c r="A3" s="804"/>
      <c r="B3" s="808" t="s">
        <v>920</v>
      </c>
      <c r="D3" s="803"/>
      <c r="E3" s="1012"/>
      <c r="F3" s="1012"/>
      <c r="G3" s="1012"/>
      <c r="H3" s="1012"/>
      <c r="I3" s="1012"/>
      <c r="J3" s="1012"/>
      <c r="K3" s="1012"/>
      <c r="L3" s="1012"/>
      <c r="W3" s="806"/>
      <c r="X3" s="806"/>
      <c r="Y3" s="806"/>
    </row>
    <row r="4" spans="1:25" ht="3" hidden="1" customHeight="1" x14ac:dyDescent="0.2">
      <c r="A4" s="804"/>
      <c r="W4" s="806"/>
      <c r="X4" s="806"/>
      <c r="Y4" s="806"/>
    </row>
    <row r="5" spans="1:25" ht="6" hidden="1" customHeight="1" x14ac:dyDescent="0.2">
      <c r="A5" s="804"/>
      <c r="W5" s="806"/>
      <c r="X5" s="806"/>
      <c r="Y5" s="806"/>
    </row>
    <row r="6" spans="1:25" ht="15" x14ac:dyDescent="0.2">
      <c r="A6" s="804"/>
      <c r="B6" s="810" t="s">
        <v>671</v>
      </c>
      <c r="D6" s="809"/>
      <c r="E6" s="811"/>
      <c r="F6" s="812"/>
      <c r="G6" s="812"/>
      <c r="H6" s="812"/>
      <c r="I6" s="812"/>
      <c r="J6" s="812"/>
      <c r="K6" s="812"/>
      <c r="L6" s="812"/>
      <c r="W6" s="806"/>
      <c r="X6" s="806"/>
      <c r="Y6" s="806"/>
    </row>
    <row r="7" spans="1:25" ht="3" customHeight="1" x14ac:dyDescent="0.25">
      <c r="A7" s="804"/>
      <c r="B7" s="810"/>
      <c r="E7" s="813"/>
      <c r="F7" s="813"/>
      <c r="G7" s="813"/>
      <c r="W7" s="806"/>
      <c r="X7" s="806"/>
      <c r="Y7" s="806"/>
    </row>
    <row r="8" spans="1:25" ht="48.75" customHeight="1" x14ac:dyDescent="0.25">
      <c r="A8" s="814" t="s">
        <v>246</v>
      </c>
      <c r="B8" s="815" t="str">
        <f>"This planning tool can now be used to produce the "&amp;'Fin.Yr Lookups'!A5&amp;" Budget Plan Notification Return for submission to the Schools Finance Team.  Please refer to the instructions at the end of these guidance notes for details."</f>
        <v>This planning tool can now be used to produce the 2020-21 Budget Plan Notification Return for submission to the Schools Finance Team.  Please refer to the instructions at the end of these guidance notes for details.</v>
      </c>
      <c r="D8" s="816"/>
      <c r="E8" s="817"/>
      <c r="F8" s="818"/>
      <c r="G8" s="813"/>
      <c r="W8" s="806"/>
      <c r="X8" s="806"/>
      <c r="Y8" s="806"/>
    </row>
    <row r="9" spans="1:25" ht="28.5" x14ac:dyDescent="0.25">
      <c r="A9" s="911" t="s">
        <v>247</v>
      </c>
      <c r="B9" s="819" t="s">
        <v>917</v>
      </c>
      <c r="E9" s="813"/>
      <c r="F9" s="813"/>
      <c r="G9" s="813"/>
      <c r="W9" s="806"/>
      <c r="X9" s="806"/>
      <c r="Y9" s="806"/>
    </row>
    <row r="10" spans="1:25" ht="59.25" customHeight="1" x14ac:dyDescent="0.25">
      <c r="A10" s="911" t="s">
        <v>248</v>
      </c>
      <c r="B10" s="805" t="s">
        <v>441</v>
      </c>
      <c r="E10" s="813"/>
      <c r="F10" s="813"/>
      <c r="G10" s="813"/>
      <c r="W10" s="806"/>
      <c r="X10" s="806"/>
      <c r="Y10" s="806"/>
    </row>
    <row r="11" spans="1:25" hidden="1" x14ac:dyDescent="0.2">
      <c r="W11" s="806"/>
      <c r="X11" s="806"/>
      <c r="Y11" s="806"/>
    </row>
    <row r="12" spans="1:25" ht="103.5" customHeight="1" x14ac:dyDescent="0.2">
      <c r="A12" s="911" t="s">
        <v>249</v>
      </c>
      <c r="B12" s="819" t="str">
        <f>"A printed copy of the Summary worksheet should be presented to the Finance Committee/Governing Body for their examination and contains space for the Chair of Finance/Governor's dated signature, when the budget has been approved."&amp;"  The approved budget should then be entered and fixed on your accounting system."&amp;"  A signed copy of the summary is not required by the Schools Finance Team. Forthcoming guidance on the Essex Schools infolink will provide details for all schools on the requirements for the "&amp;'Fin.Yr Lookups'!A5&amp;" budget notification return to the Local Authority (LA)."</f>
        <v>A printed copy of the Summary worksheet should be presented to the Finance Committee/Governing Body for their examination and contains space for the Chair of Finance/Governor's dated signature, when the budget has been approved.  The approved budget should then be entered and fixed on your accounting system.  A signed copy of the summary is not required by the Schools Finance Team. Forthcoming guidance on the Essex Schools infolink will provide details for all schools on the requirements for the 2020-21 budget notification return to the Local Authority (LA).</v>
      </c>
      <c r="W12" s="806"/>
      <c r="X12" s="806"/>
      <c r="Y12" s="806"/>
    </row>
    <row r="13" spans="1:25" ht="29.25" x14ac:dyDescent="0.2">
      <c r="A13" s="911" t="s">
        <v>250</v>
      </c>
      <c r="B13" s="805" t="s">
        <v>787</v>
      </c>
      <c r="W13" s="806"/>
      <c r="X13" s="806"/>
      <c r="Y13" s="806"/>
    </row>
    <row r="14" spans="1:25" x14ac:dyDescent="0.2">
      <c r="W14" s="806"/>
      <c r="X14" s="806"/>
      <c r="Y14" s="806"/>
    </row>
    <row r="15" spans="1:25" ht="15" x14ac:dyDescent="0.2">
      <c r="A15" s="820" t="s">
        <v>672</v>
      </c>
      <c r="B15" s="810" t="s">
        <v>687</v>
      </c>
      <c r="W15" s="806"/>
      <c r="X15" s="806"/>
      <c r="Y15" s="806"/>
    </row>
    <row r="16" spans="1:25" ht="119.25" customHeight="1" x14ac:dyDescent="0.2">
      <c r="B16" s="805" t="s">
        <v>688</v>
      </c>
      <c r="W16" s="806"/>
      <c r="X16" s="806"/>
      <c r="Y16" s="806"/>
    </row>
    <row r="17" spans="1:25" x14ac:dyDescent="0.2">
      <c r="W17" s="806"/>
      <c r="X17" s="806"/>
      <c r="Y17" s="806"/>
    </row>
    <row r="18" spans="1:25" ht="15" x14ac:dyDescent="0.2">
      <c r="A18" s="820" t="s">
        <v>673</v>
      </c>
      <c r="B18" s="810" t="str">
        <f>"Estimating "&amp;'Fin.Yr Lookups'!A5&amp;" Funding Allocations"</f>
        <v>Estimating 2020-21 Funding Allocations</v>
      </c>
      <c r="W18" s="806"/>
      <c r="X18" s="806"/>
      <c r="Y18" s="806"/>
    </row>
    <row r="19" spans="1:25" ht="85.5" x14ac:dyDescent="0.2">
      <c r="B19" s="819" t="str">
        <f>"This budget planner contains several funding calculators to help you estimate the levels of funding to be received in "&amp;'Fin.Yr Lookups'!A5&amp;". The estimated funding allocations feed through to the income sheet so that you can see the total estimated funding available."&amp;"
However, it is important to remember that the estimated funding allocations on the Income sheet will need to be overtyped with the final funding allocations when these are published on the Essex Schools Infolink."</f>
        <v>This budget planner contains several funding calculators to help you estimate the levels of funding to be received in 2020-21. The estimated funding allocations feed through to the income sheet so that you can see the total estimated funding available.
However, it is important to remember that the estimated funding allocations on the Income sheet will need to be overtyped with the final funding allocations when these are published on the Essex Schools Infolink.</v>
      </c>
      <c r="W19" s="806"/>
      <c r="X19" s="806"/>
      <c r="Y19" s="806"/>
    </row>
    <row r="20" spans="1:25" ht="28.5" x14ac:dyDescent="0.2">
      <c r="B20" s="805" t="s">
        <v>689</v>
      </c>
      <c r="W20" s="806"/>
      <c r="X20" s="806"/>
      <c r="Y20" s="806"/>
    </row>
    <row r="21" spans="1:25" ht="6" customHeight="1" x14ac:dyDescent="0.2">
      <c r="W21" s="806"/>
      <c r="X21" s="806"/>
      <c r="Y21" s="806"/>
    </row>
    <row r="22" spans="1:25" ht="15" x14ac:dyDescent="0.2">
      <c r="A22" s="814">
        <v>1</v>
      </c>
      <c r="B22" s="821" t="s">
        <v>245</v>
      </c>
      <c r="W22" s="806"/>
      <c r="X22" s="806"/>
      <c r="Y22" s="806"/>
    </row>
    <row r="23" spans="1:25" ht="71.25" x14ac:dyDescent="0.2">
      <c r="B23" s="819" t="str">
        <f>"All schools with nursery classes should use this sheet to estimate funding due in "&amp;'Fin.Yr Lookups'!A5&amp;".  This is the only funding calculator that Nursery Schools will need to use as they will not receive any other streams of funding. Infant and Primary schools will also need to complete the other funding estimators listed below."&amp;"  Any funding estimated on this sheet will appear in the Income sheet."</f>
        <v>All schools with nursery classes should use this sheet to estimate funding due in 2020-21.  This is the only funding calculator that Nursery Schools will need to use as they will not receive any other streams of funding. Infant and Primary schools will also need to complete the other funding estimators listed below.  Any funding estimated on this sheet will appear in the Income sheet.</v>
      </c>
      <c r="W23" s="806"/>
      <c r="X23" s="806"/>
      <c r="Y23" s="806"/>
    </row>
    <row r="24" spans="1:25" ht="6" customHeight="1" x14ac:dyDescent="0.2">
      <c r="W24" s="806"/>
      <c r="X24" s="806"/>
      <c r="Y24" s="806"/>
    </row>
    <row r="25" spans="1:25" ht="15" x14ac:dyDescent="0.2">
      <c r="A25" s="814">
        <v>2</v>
      </c>
      <c r="B25" s="821" t="s">
        <v>834</v>
      </c>
      <c r="W25" s="806"/>
      <c r="X25" s="806"/>
      <c r="Y25" s="806"/>
    </row>
    <row r="26" spans="1:25" ht="45" customHeight="1" x14ac:dyDescent="0.2">
      <c r="B26" s="819" t="s">
        <v>848</v>
      </c>
      <c r="W26" s="806"/>
      <c r="X26" s="806"/>
      <c r="Y26" s="806"/>
    </row>
    <row r="27" spans="1:25" ht="6" customHeight="1" x14ac:dyDescent="0.2">
      <c r="W27" s="806"/>
      <c r="X27" s="806"/>
      <c r="Y27" s="806"/>
    </row>
    <row r="28" spans="1:25" ht="15" x14ac:dyDescent="0.2">
      <c r="A28" s="814">
        <v>3</v>
      </c>
      <c r="B28" s="821" t="s">
        <v>1011</v>
      </c>
      <c r="W28" s="806"/>
      <c r="X28" s="806"/>
      <c r="Y28" s="806"/>
    </row>
    <row r="29" spans="1:25" ht="43.5" x14ac:dyDescent="0.2">
      <c r="B29" s="819" t="s">
        <v>1012</v>
      </c>
      <c r="W29" s="806"/>
      <c r="X29" s="806"/>
      <c r="Y29" s="806"/>
    </row>
    <row r="30" spans="1:25" ht="7.5" customHeight="1" x14ac:dyDescent="0.2">
      <c r="W30" s="806"/>
      <c r="X30" s="806"/>
      <c r="Y30" s="806"/>
    </row>
    <row r="31" spans="1:25" ht="15" x14ac:dyDescent="0.2">
      <c r="A31" s="814">
        <v>4</v>
      </c>
      <c r="B31" s="821" t="s">
        <v>297</v>
      </c>
      <c r="W31" s="806"/>
      <c r="X31" s="806"/>
      <c r="Y31" s="806"/>
    </row>
    <row r="32" spans="1:25" ht="104.25" customHeight="1" x14ac:dyDescent="0.2">
      <c r="B32" s="819" t="str">
        <f>"This worksheet should be used by all Infant, Junior, Primary and Secondary schools.  It estimates the minimum Schools Block funding that can be expected, using the Minimum Funding Guarantee (MFG) &amp; Minimum Funding per Pupil formulas."&amp;" Funding estimated on this sheet will appear on the Income sheet.  Schools with PPP/PFI contracts will note that the funding total carried over to the Income sheet has the Local Authority PFI funding estimate split out on to a separate line."&amp;"  This PFI estimate is based on funding delegated in "&amp;'Fin.Yr Lookups'!A16&amp;"."</f>
        <v>This worksheet should be used by all Infant, Junior, Primary and Secondary schools.  It estimates the minimum Schools Block funding that can be expected, using the Minimum Funding Guarantee (MFG) &amp; Minimum Funding per Pupil formulas. Funding estimated on this sheet will appear on the Income sheet.  Schools with PPP/PFI contracts will note that the funding total carried over to the Income sheet has the Local Authority PFI funding estimate split out on to a separate line.  This PFI estimate is based on funding delegated in 2019-20.</v>
      </c>
      <c r="W32" s="806"/>
      <c r="X32" s="806"/>
      <c r="Y32" s="806"/>
    </row>
    <row r="33" spans="1:25" ht="15" x14ac:dyDescent="0.2">
      <c r="A33" s="814">
        <v>5</v>
      </c>
      <c r="B33" s="821" t="s">
        <v>57</v>
      </c>
      <c r="W33" s="806"/>
      <c r="X33" s="806"/>
      <c r="Y33" s="806"/>
    </row>
    <row r="34" spans="1:25" x14ac:dyDescent="0.2">
      <c r="B34" s="819" t="s">
        <v>849</v>
      </c>
      <c r="W34" s="806"/>
      <c r="X34" s="806"/>
      <c r="Y34" s="806"/>
    </row>
    <row r="35" spans="1:25" ht="15" x14ac:dyDescent="0.2">
      <c r="B35" s="821" t="s">
        <v>64</v>
      </c>
      <c r="W35" s="806"/>
      <c r="X35" s="806"/>
      <c r="Y35" s="806"/>
    </row>
    <row r="36" spans="1:25" ht="15" hidden="1" x14ac:dyDescent="0.2">
      <c r="B36" s="821"/>
      <c r="W36" s="806"/>
      <c r="X36" s="806"/>
      <c r="Y36" s="806"/>
    </row>
    <row r="37" spans="1:25" ht="47.25" customHeight="1" x14ac:dyDescent="0.2">
      <c r="B37" s="821" t="s">
        <v>838</v>
      </c>
      <c r="W37" s="806"/>
      <c r="X37" s="806"/>
      <c r="Y37" s="806"/>
    </row>
    <row r="38" spans="1:25" ht="3" customHeight="1" x14ac:dyDescent="0.2">
      <c r="W38" s="806"/>
      <c r="X38" s="806"/>
      <c r="Y38" s="806"/>
    </row>
    <row r="39" spans="1:25" ht="29.25" x14ac:dyDescent="0.2">
      <c r="B39" s="819" t="s">
        <v>286</v>
      </c>
      <c r="W39" s="806"/>
      <c r="X39" s="806"/>
      <c r="Y39" s="806"/>
    </row>
    <row r="40" spans="1:25" hidden="1" x14ac:dyDescent="0.2">
      <c r="W40" s="806"/>
      <c r="X40" s="806"/>
      <c r="Y40" s="806"/>
    </row>
    <row r="41" spans="1:25" ht="12.75" customHeight="1" x14ac:dyDescent="0.2">
      <c r="W41" s="806"/>
      <c r="X41" s="806"/>
      <c r="Y41" s="806"/>
    </row>
    <row r="42" spans="1:25" ht="15" x14ac:dyDescent="0.2">
      <c r="A42" s="820" t="s">
        <v>674</v>
      </c>
      <c r="B42" s="810" t="str">
        <f>"Entering Details of the "&amp;'Fin.Yr Lookups'!A5&amp;" Budget"</f>
        <v>Entering Details of the 2020-21 Budget</v>
      </c>
      <c r="W42" s="806"/>
      <c r="X42" s="806"/>
      <c r="Y42" s="806"/>
    </row>
    <row r="43" spans="1:25" ht="6" customHeight="1" x14ac:dyDescent="0.2">
      <c r="W43" s="806"/>
      <c r="X43" s="806"/>
      <c r="Y43" s="806"/>
    </row>
    <row r="44" spans="1:25" ht="16.5" customHeight="1" x14ac:dyDescent="0.2">
      <c r="B44" s="821" t="s">
        <v>785</v>
      </c>
      <c r="W44" s="806"/>
      <c r="X44" s="806"/>
      <c r="Y44" s="806"/>
    </row>
    <row r="45" spans="1:25" ht="15" x14ac:dyDescent="0.2">
      <c r="A45" s="814">
        <v>1</v>
      </c>
      <c r="B45" s="805" t="s">
        <v>298</v>
      </c>
      <c r="W45" s="806"/>
      <c r="X45" s="806"/>
      <c r="Y45" s="806"/>
    </row>
    <row r="46" spans="1:25" ht="3" customHeight="1" x14ac:dyDescent="0.2">
      <c r="W46" s="806"/>
      <c r="X46" s="806"/>
      <c r="Y46" s="806"/>
    </row>
    <row r="47" spans="1:25" ht="28.5" x14ac:dyDescent="0.2">
      <c r="A47" s="814">
        <v>2</v>
      </c>
      <c r="B47" s="805" t="s">
        <v>299</v>
      </c>
      <c r="W47" s="806"/>
      <c r="X47" s="806"/>
      <c r="Y47" s="806"/>
    </row>
    <row r="48" spans="1:25" ht="3" customHeight="1" x14ac:dyDescent="0.2">
      <c r="W48" s="806"/>
      <c r="X48" s="806"/>
      <c r="Y48" s="806"/>
    </row>
    <row r="49" spans="1:25" ht="59.25" customHeight="1" x14ac:dyDescent="0.2">
      <c r="A49" s="814">
        <v>3</v>
      </c>
      <c r="B49" s="819" t="s">
        <v>921</v>
      </c>
      <c r="W49" s="806"/>
      <c r="X49" s="806"/>
      <c r="Y49" s="806"/>
    </row>
    <row r="50" spans="1:25" ht="3" customHeight="1" x14ac:dyDescent="0.2">
      <c r="W50" s="806"/>
      <c r="X50" s="806"/>
      <c r="Y50" s="806"/>
    </row>
    <row r="51" spans="1:25" ht="29.25" x14ac:dyDescent="0.2">
      <c r="A51" s="814">
        <v>4</v>
      </c>
      <c r="B51" s="805" t="s">
        <v>778</v>
      </c>
      <c r="W51" s="806"/>
      <c r="X51" s="806"/>
      <c r="Y51" s="806"/>
    </row>
    <row r="52" spans="1:25" ht="3" customHeight="1" x14ac:dyDescent="0.2">
      <c r="W52" s="806"/>
      <c r="X52" s="806"/>
      <c r="Y52" s="806"/>
    </row>
    <row r="53" spans="1:25" ht="46.5" customHeight="1" x14ac:dyDescent="0.2">
      <c r="A53" s="814">
        <v>5</v>
      </c>
      <c r="B53" s="805" t="s">
        <v>300</v>
      </c>
      <c r="W53" s="806"/>
      <c r="X53" s="806"/>
      <c r="Y53" s="806"/>
    </row>
    <row r="54" spans="1:25" ht="3" customHeight="1" x14ac:dyDescent="0.2">
      <c r="W54" s="806"/>
      <c r="X54" s="806"/>
      <c r="Y54" s="806"/>
    </row>
    <row r="55" spans="1:25" ht="61.5" customHeight="1" x14ac:dyDescent="0.2">
      <c r="A55" s="814">
        <v>6</v>
      </c>
      <c r="B55" s="819" t="str">
        <f>"Once you have completed the above steps, cell E63 of the Income worksheet will show the total level of funds available for use in "&amp;'Fin.Yr Lookups'!A5&amp;". If you go to the Expenditure worksheet you will see that this figure is also shown in cell E3.  As you enter expenditure allocations this figure will reduce, thereby showing you the remaining funds left unallocated."</f>
        <v>Once you have completed the above steps, cell E63 of the Income worksheet will show the total level of funds available for use in 2020-21. If you go to the Expenditure worksheet you will see that this figure is also shown in cell E3.  As you enter expenditure allocations this figure will reduce, thereby showing you the remaining funds left unallocated.</v>
      </c>
      <c r="W55" s="806"/>
      <c r="X55" s="806"/>
      <c r="Y55" s="806"/>
    </row>
    <row r="56" spans="1:25" ht="48" customHeight="1" x14ac:dyDescent="0.2">
      <c r="B56" s="819" t="s">
        <v>1010</v>
      </c>
      <c r="W56" s="806"/>
      <c r="X56" s="806"/>
      <c r="Y56" s="806"/>
    </row>
    <row r="57" spans="1:25" ht="15" customHeight="1" x14ac:dyDescent="0.2">
      <c r="B57" s="821" t="s">
        <v>786</v>
      </c>
      <c r="W57" s="806"/>
      <c r="X57" s="806"/>
      <c r="Y57" s="806"/>
    </row>
    <row r="58" spans="1:25" ht="43.5" x14ac:dyDescent="0.2">
      <c r="A58" s="814">
        <v>7</v>
      </c>
      <c r="B58" s="805" t="s">
        <v>792</v>
      </c>
      <c r="W58" s="806"/>
      <c r="X58" s="806"/>
      <c r="Y58" s="806"/>
    </row>
    <row r="59" spans="1:25" ht="3" customHeight="1" x14ac:dyDescent="0.2">
      <c r="W59" s="806"/>
      <c r="X59" s="806"/>
      <c r="Y59" s="806"/>
    </row>
    <row r="60" spans="1:25" ht="71.25" x14ac:dyDescent="0.2">
      <c r="A60" s="814">
        <v>8</v>
      </c>
      <c r="B60" s="819" t="str">
        <f>"In the Expenditure worksheet also enter planned contingency allocations, in rows 578-582 for contingencies for expected use in "&amp;'Fin.Yr Lookups'!A5&amp;" &amp; rows 586-593 for contingencies earmarked for specific projects after "&amp;'Fin.Yr Lookups'!A5&amp;". Explanatory notes should be added in column C-D, defining each project and noting the date that the revenue allocation is to be spent. "</f>
        <v xml:space="preserve">In the Expenditure worksheet also enter planned contingency allocations, in rows 578-582 for contingencies for expected use in 2020-21 &amp; rows 586-593 for contingencies earmarked for specific projects after 2020-21. Explanatory notes should be added in column C-D, defining each project and noting the date that the revenue allocation is to be spent. </v>
      </c>
      <c r="W60" s="806"/>
      <c r="X60" s="806"/>
      <c r="Y60" s="806"/>
    </row>
    <row r="61" spans="1:25" ht="3" customHeight="1" x14ac:dyDescent="0.2">
      <c r="W61" s="806"/>
      <c r="X61" s="806"/>
      <c r="Y61" s="806"/>
    </row>
    <row r="62" spans="1:25" ht="87" customHeight="1" x14ac:dyDescent="0.2">
      <c r="A62" s="814">
        <v>9</v>
      </c>
      <c r="B62" s="805" t="s">
        <v>301</v>
      </c>
      <c r="W62" s="806"/>
      <c r="X62" s="806"/>
      <c r="Y62" s="806"/>
    </row>
    <row r="63" spans="1:25" ht="3" customHeight="1" x14ac:dyDescent="0.2">
      <c r="W63" s="806"/>
      <c r="X63" s="806"/>
      <c r="Y63" s="806"/>
    </row>
    <row r="64" spans="1:25" ht="33" customHeight="1" x14ac:dyDescent="0.2">
      <c r="A64" s="814">
        <v>10</v>
      </c>
      <c r="B64" s="805" t="s">
        <v>780</v>
      </c>
      <c r="W64" s="806"/>
      <c r="X64" s="806"/>
      <c r="Y64" s="806"/>
    </row>
    <row r="65" spans="1:25" ht="3" customHeight="1" x14ac:dyDescent="0.2">
      <c r="W65" s="806"/>
      <c r="X65" s="806"/>
      <c r="Y65" s="806"/>
    </row>
    <row r="66" spans="1:25" ht="15" x14ac:dyDescent="0.2">
      <c r="B66" s="821" t="s">
        <v>682</v>
      </c>
      <c r="W66" s="806"/>
      <c r="X66" s="806"/>
      <c r="Y66" s="806"/>
    </row>
    <row r="67" spans="1:25" ht="72" x14ac:dyDescent="0.2">
      <c r="A67" s="814">
        <v>11</v>
      </c>
      <c r="B67" s="805" t="s">
        <v>793</v>
      </c>
      <c r="W67" s="806"/>
      <c r="X67" s="806"/>
      <c r="Y67" s="806"/>
    </row>
    <row r="68" spans="1:25" x14ac:dyDescent="0.2">
      <c r="W68" s="806"/>
      <c r="X68" s="806"/>
      <c r="Y68" s="806"/>
    </row>
    <row r="69" spans="1:25" ht="15" x14ac:dyDescent="0.2">
      <c r="B69" s="821" t="s">
        <v>777</v>
      </c>
      <c r="W69" s="806"/>
      <c r="X69" s="806"/>
      <c r="Y69" s="806"/>
    </row>
    <row r="70" spans="1:25" ht="3" customHeight="1" x14ac:dyDescent="0.2">
      <c r="B70" s="810"/>
      <c r="W70" s="806"/>
      <c r="X70" s="806"/>
      <c r="Y70" s="806"/>
    </row>
    <row r="71" spans="1:25" ht="30.75" customHeight="1" x14ac:dyDescent="0.2">
      <c r="A71" s="814">
        <v>12</v>
      </c>
      <c r="B71" s="819" t="str">
        <f>"Once you have fully planned the budget and have finished entering data in all the worksheets described above, you can project the cash flow for the "&amp;'Fin.Yr Lookups'!A5&amp;" financial year."</f>
        <v>Once you have fully planned the budget and have finished entering data in all the worksheets described above, you can project the cash flow for the 2020-21 financial year.</v>
      </c>
      <c r="W71" s="806"/>
      <c r="X71" s="806"/>
      <c r="Y71" s="806"/>
    </row>
    <row r="72" spans="1:25" ht="3" customHeight="1" x14ac:dyDescent="0.2">
      <c r="W72" s="806"/>
      <c r="X72" s="806"/>
      <c r="Y72" s="806"/>
    </row>
    <row r="73" spans="1:25" ht="28.5" customHeight="1" x14ac:dyDescent="0.2">
      <c r="A73" s="814">
        <v>13</v>
      </c>
      <c r="B73" s="805" t="s">
        <v>252</v>
      </c>
      <c r="W73" s="806"/>
      <c r="X73" s="806"/>
      <c r="Y73" s="806"/>
    </row>
    <row r="74" spans="1:25" ht="3" customHeight="1" x14ac:dyDescent="0.2">
      <c r="W74" s="806"/>
      <c r="X74" s="806"/>
      <c r="Y74" s="806"/>
    </row>
    <row r="75" spans="1:25" ht="42.75" x14ac:dyDescent="0.2">
      <c r="A75" s="814">
        <v>14</v>
      </c>
      <c r="B75" s="819" t="str">
        <f>"Enter the cash brought forward figure in cell B4.  This must equal the sum of cash held at the school and in the school's bank account(s) as reconciled on your financial accounting system as at "&amp;'Fin.Yr Lookups'!A9&amp;" and should include any capital balance held."</f>
        <v>Enter the cash brought forward figure in cell B4.  This must equal the sum of cash held at the school and in the school's bank account(s) as reconciled on your financial accounting system as at 01/04/2020 and should include any capital balance held.</v>
      </c>
      <c r="W75" s="806"/>
      <c r="X75" s="806"/>
      <c r="Y75" s="806"/>
    </row>
    <row r="76" spans="1:25" ht="3" customHeight="1" x14ac:dyDescent="0.2">
      <c r="W76" s="806"/>
      <c r="X76" s="806"/>
      <c r="Y76" s="806"/>
    </row>
    <row r="77" spans="1:25" ht="28.5" x14ac:dyDescent="0.2">
      <c r="A77" s="814">
        <v>15</v>
      </c>
      <c r="B77" s="819" t="s">
        <v>287</v>
      </c>
      <c r="W77" s="806"/>
      <c r="X77" s="806"/>
      <c r="Y77" s="806"/>
    </row>
    <row r="78" spans="1:25" ht="3" customHeight="1" x14ac:dyDescent="0.2">
      <c r="W78" s="806"/>
      <c r="X78" s="806"/>
      <c r="Y78" s="806"/>
    </row>
    <row r="79" spans="1:25" ht="115.5" customHeight="1" x14ac:dyDescent="0.2">
      <c r="A79" s="814">
        <v>16</v>
      </c>
      <c r="B79" s="805" t="s">
        <v>764</v>
      </c>
      <c r="W79" s="806"/>
      <c r="X79" s="806"/>
      <c r="Y79" s="806"/>
    </row>
    <row r="80" spans="1:25" ht="3" customHeight="1" x14ac:dyDescent="0.2">
      <c r="W80" s="806"/>
      <c r="X80" s="806"/>
      <c r="Y80" s="806"/>
    </row>
    <row r="81" spans="1:25" ht="172.5" x14ac:dyDescent="0.2">
      <c r="A81" s="814">
        <v>17</v>
      </c>
      <c r="B81" s="805" t="s">
        <v>0</v>
      </c>
      <c r="W81" s="806"/>
      <c r="X81" s="806"/>
      <c r="Y81" s="806"/>
    </row>
    <row r="82" spans="1:25" ht="73.5" customHeight="1" x14ac:dyDescent="0.2">
      <c r="B82" s="822" t="s">
        <v>781</v>
      </c>
      <c r="W82" s="806"/>
      <c r="X82" s="806"/>
      <c r="Y82" s="806"/>
    </row>
    <row r="83" spans="1:25" ht="3" customHeight="1" x14ac:dyDescent="0.2">
      <c r="W83" s="806"/>
      <c r="X83" s="806"/>
      <c r="Y83" s="806"/>
    </row>
    <row r="84" spans="1:25" ht="116.25" x14ac:dyDescent="0.2">
      <c r="A84" s="814">
        <v>18</v>
      </c>
      <c r="B84" s="819" t="s">
        <v>288</v>
      </c>
      <c r="W84" s="806"/>
      <c r="X84" s="806"/>
      <c r="Y84" s="806"/>
    </row>
    <row r="85" spans="1:25" ht="8.25" customHeight="1" x14ac:dyDescent="0.2">
      <c r="W85" s="806"/>
      <c r="X85" s="806"/>
      <c r="Y85" s="806"/>
    </row>
    <row r="86" spans="1:25" ht="15" x14ac:dyDescent="0.2">
      <c r="A86" s="814">
        <v>19</v>
      </c>
      <c r="B86" s="821" t="s">
        <v>870</v>
      </c>
      <c r="W86" s="806"/>
      <c r="X86" s="806"/>
      <c r="Y86" s="806"/>
    </row>
    <row r="87" spans="1:25" ht="99.75" x14ac:dyDescent="0.2">
      <c r="B87" s="819" t="str">
        <f>"The Prior Year Comparison sheet shows the income and expenditure allocations entered on previous sheets and allows you to enter allocations and year end actuals for the previous year."&amp;"  These are then compared with the new year's allocations and there is also space for you to add explanatory notes. "&amp;"This sheet can be useful when presenting the proposed budget to Governors as it can demonstrate that "&amp;'Fin.Yr Lookups'!A5&amp;" allocations are realistic and achievable and also highlight where there are significant changes compared with the previous year's budget."</f>
        <v>The Prior Year Comparison sheet shows the income and expenditure allocations entered on previous sheets and allows you to enter allocations and year end actuals for the previous year.  These are then compared with the new year's allocations and there is also space for you to add explanatory notes. This sheet can be useful when presenting the proposed budget to Governors as it can demonstrate that 2020-21 allocations are realistic and achievable and also highlight where there are significant changes compared with the previous year's budget.</v>
      </c>
      <c r="W87" s="806"/>
      <c r="X87" s="806"/>
      <c r="Y87" s="806"/>
    </row>
    <row r="88" spans="1:25" x14ac:dyDescent="0.2">
      <c r="B88" s="823"/>
      <c r="W88" s="806"/>
      <c r="X88" s="806"/>
      <c r="Y88" s="806"/>
    </row>
    <row r="89" spans="1:25" ht="15" x14ac:dyDescent="0.2">
      <c r="A89" s="814">
        <v>20</v>
      </c>
      <c r="B89" s="824" t="s">
        <v>802</v>
      </c>
      <c r="W89" s="806"/>
      <c r="X89" s="806"/>
      <c r="Y89" s="806"/>
    </row>
    <row r="90" spans="1:25" ht="71.25" x14ac:dyDescent="0.2">
      <c r="B90" s="819" t="str">
        <f>"The Export Data sheet can be used to import details of your current year budget, (as well as comparative data from the previous year), into the "&amp;'Fin.Yr Lookups'!A5&amp;" five year budget projection spreadsheet. For full instructions on how to use this feature, please refer to the guidance notes in the five year budget projection spreadsheet (due to be released in the summer term "&amp;'Fin.Yr Lookups'!A3&amp;")."</f>
        <v>The Export Data sheet can be used to import details of your current year budget, (as well as comparative data from the previous year), into the 2020-21 five year budget projection spreadsheet. For full instructions on how to use this feature, please refer to the guidance notes in the five year budget projection spreadsheet (due to be released in the summer term 2020).</v>
      </c>
      <c r="W90" s="806"/>
      <c r="X90" s="806"/>
      <c r="Y90" s="806"/>
    </row>
    <row r="91" spans="1:25" x14ac:dyDescent="0.2">
      <c r="B91" s="819"/>
      <c r="W91" s="806"/>
      <c r="X91" s="806"/>
      <c r="Y91" s="806"/>
    </row>
    <row r="92" spans="1:25" ht="15" x14ac:dyDescent="0.2">
      <c r="A92" s="814">
        <v>21</v>
      </c>
      <c r="B92" s="810" t="str">
        <f>"Producing the "&amp;'Fin.Yr Lookups'!A5&amp;" Budget Plan Notification Return for the Local Authority"</f>
        <v>Producing the 2020-21 Budget Plan Notification Return for the Local Authority</v>
      </c>
      <c r="W92" s="806"/>
      <c r="X92" s="806"/>
      <c r="Y92" s="806"/>
    </row>
    <row r="93" spans="1:25" ht="62.25" customHeight="1" x14ac:dyDescent="0.2">
      <c r="B93" s="819" t="s">
        <v>1014</v>
      </c>
      <c r="W93" s="806"/>
      <c r="X93" s="806"/>
      <c r="Y93" s="806"/>
    </row>
    <row r="94" spans="1:25" x14ac:dyDescent="0.2">
      <c r="B94" s="825" t="s">
        <v>289</v>
      </c>
      <c r="W94" s="806"/>
      <c r="X94" s="806"/>
      <c r="Y94" s="806"/>
    </row>
    <row r="95" spans="1:25" ht="101.25" x14ac:dyDescent="0.2">
      <c r="B95" s="819" t="s">
        <v>1015</v>
      </c>
      <c r="W95" s="806"/>
      <c r="X95" s="806"/>
      <c r="Y95" s="806"/>
    </row>
    <row r="96" spans="1:25" x14ac:dyDescent="0.2">
      <c r="B96" s="819"/>
      <c r="W96" s="806"/>
      <c r="X96" s="806"/>
      <c r="Y96" s="806"/>
    </row>
    <row r="97" spans="1:25" ht="57.75" x14ac:dyDescent="0.2">
      <c r="B97" s="819" t="s">
        <v>1016</v>
      </c>
      <c r="W97" s="806"/>
      <c r="X97" s="806"/>
      <c r="Y97" s="806"/>
    </row>
    <row r="98" spans="1:25" x14ac:dyDescent="0.2">
      <c r="B98" s="819"/>
      <c r="W98" s="806"/>
      <c r="X98" s="806"/>
      <c r="Y98" s="806"/>
    </row>
    <row r="99" spans="1:25" x14ac:dyDescent="0.2">
      <c r="B99" s="819" t="s">
        <v>840</v>
      </c>
      <c r="W99" s="806"/>
      <c r="X99" s="806"/>
      <c r="Y99" s="806"/>
    </row>
    <row r="100" spans="1:25" x14ac:dyDescent="0.2">
      <c r="B100" s="819" t="s">
        <v>839</v>
      </c>
      <c r="W100" s="806"/>
      <c r="X100" s="806"/>
      <c r="Y100" s="806"/>
    </row>
    <row r="101" spans="1:25" x14ac:dyDescent="0.2">
      <c r="B101" s="819" t="s">
        <v>867</v>
      </c>
      <c r="W101" s="806"/>
      <c r="X101" s="806"/>
      <c r="Y101" s="806"/>
    </row>
    <row r="102" spans="1:25" x14ac:dyDescent="0.2">
      <c r="B102" s="823"/>
      <c r="W102" s="806"/>
      <c r="X102" s="806"/>
      <c r="Y102" s="806"/>
    </row>
    <row r="103" spans="1:25" x14ac:dyDescent="0.2">
      <c r="A103" s="826"/>
      <c r="B103" s="827"/>
      <c r="W103" s="806"/>
      <c r="X103" s="806"/>
      <c r="Y103" s="806"/>
    </row>
    <row r="104" spans="1:25" x14ac:dyDescent="0.2">
      <c r="A104" s="826"/>
      <c r="B104" s="827"/>
      <c r="W104" s="806"/>
      <c r="X104" s="806"/>
      <c r="Y104" s="806"/>
    </row>
    <row r="105" spans="1:25" x14ac:dyDescent="0.2">
      <c r="A105" s="826"/>
      <c r="B105" s="827"/>
      <c r="W105" s="806"/>
      <c r="X105" s="806"/>
      <c r="Y105" s="806"/>
    </row>
    <row r="106" spans="1:25" x14ac:dyDescent="0.2">
      <c r="A106" s="826"/>
      <c r="B106" s="827"/>
      <c r="W106" s="806"/>
      <c r="X106" s="806"/>
      <c r="Y106" s="806"/>
    </row>
    <row r="107" spans="1:25" ht="85.5" x14ac:dyDescent="0.2">
      <c r="A107" s="826"/>
      <c r="B107" s="827" t="s">
        <v>1013</v>
      </c>
      <c r="W107" s="806"/>
      <c r="X107" s="806"/>
      <c r="Y107" s="806"/>
    </row>
    <row r="108" spans="1:25" x14ac:dyDescent="0.2">
      <c r="A108" s="826"/>
      <c r="B108" s="827"/>
      <c r="W108" s="806"/>
      <c r="X108" s="806"/>
      <c r="Y108" s="806"/>
    </row>
    <row r="109" spans="1:25" x14ac:dyDescent="0.2">
      <c r="A109" s="826"/>
      <c r="B109" s="827"/>
      <c r="W109" s="806"/>
      <c r="X109" s="806"/>
      <c r="Y109" s="806"/>
    </row>
    <row r="110" spans="1:25" x14ac:dyDescent="0.2">
      <c r="A110" s="826"/>
      <c r="B110" s="827"/>
      <c r="W110" s="806"/>
      <c r="X110" s="806"/>
      <c r="Y110" s="806"/>
    </row>
    <row r="111" spans="1:25" x14ac:dyDescent="0.2">
      <c r="A111" s="826"/>
      <c r="B111" s="827"/>
      <c r="W111" s="806"/>
      <c r="X111" s="806"/>
      <c r="Y111" s="806"/>
    </row>
    <row r="112" spans="1:25" x14ac:dyDescent="0.2">
      <c r="A112" s="826"/>
      <c r="B112" s="827"/>
      <c r="W112" s="806"/>
      <c r="X112" s="806"/>
      <c r="Y112" s="806"/>
    </row>
    <row r="113" spans="1:25" x14ac:dyDescent="0.2">
      <c r="A113" s="826"/>
      <c r="B113" s="827"/>
      <c r="W113" s="806"/>
      <c r="X113" s="806"/>
      <c r="Y113" s="806"/>
    </row>
    <row r="114" spans="1:25" x14ac:dyDescent="0.2">
      <c r="A114" s="826"/>
      <c r="B114" s="827"/>
      <c r="W114" s="806"/>
      <c r="X114" s="806"/>
      <c r="Y114" s="806"/>
    </row>
    <row r="115" spans="1:25" x14ac:dyDescent="0.2">
      <c r="A115" s="826"/>
      <c r="B115" s="827"/>
      <c r="W115" s="806"/>
      <c r="X115" s="806"/>
      <c r="Y115" s="806"/>
    </row>
    <row r="116" spans="1:25" x14ac:dyDescent="0.2">
      <c r="A116" s="826"/>
      <c r="B116" s="827"/>
      <c r="W116" s="806"/>
      <c r="X116" s="806"/>
      <c r="Y116" s="806"/>
    </row>
    <row r="117" spans="1:25" x14ac:dyDescent="0.2">
      <c r="A117" s="826"/>
      <c r="B117" s="827"/>
      <c r="W117" s="806"/>
      <c r="X117" s="806"/>
      <c r="Y117" s="806"/>
    </row>
    <row r="118" spans="1:25" x14ac:dyDescent="0.2">
      <c r="A118" s="826"/>
      <c r="B118" s="827"/>
      <c r="W118" s="806"/>
      <c r="X118" s="806"/>
      <c r="Y118" s="806"/>
    </row>
    <row r="119" spans="1:25" x14ac:dyDescent="0.2">
      <c r="A119" s="826"/>
      <c r="B119" s="827"/>
      <c r="W119" s="806"/>
      <c r="X119" s="806"/>
      <c r="Y119" s="806"/>
    </row>
    <row r="120" spans="1:25" x14ac:dyDescent="0.2">
      <c r="A120" s="826"/>
      <c r="B120" s="827"/>
      <c r="W120" s="806"/>
      <c r="X120" s="806"/>
      <c r="Y120" s="806"/>
    </row>
    <row r="121" spans="1:25" x14ac:dyDescent="0.2">
      <c r="A121" s="826"/>
      <c r="B121" s="827"/>
      <c r="W121" s="806"/>
      <c r="X121" s="806"/>
      <c r="Y121" s="806"/>
    </row>
    <row r="122" spans="1:25" x14ac:dyDescent="0.2">
      <c r="A122" s="826"/>
      <c r="B122" s="827"/>
      <c r="W122" s="806"/>
      <c r="X122" s="806"/>
      <c r="Y122" s="806"/>
    </row>
    <row r="123" spans="1:25" x14ac:dyDescent="0.2">
      <c r="A123" s="826"/>
      <c r="B123" s="827"/>
      <c r="W123" s="806"/>
      <c r="X123" s="806"/>
      <c r="Y123" s="806"/>
    </row>
    <row r="124" spans="1:25" x14ac:dyDescent="0.2">
      <c r="A124" s="826"/>
      <c r="B124" s="827"/>
      <c r="W124" s="806"/>
      <c r="X124" s="806"/>
      <c r="Y124" s="806"/>
    </row>
    <row r="125" spans="1:25" x14ac:dyDescent="0.2">
      <c r="A125" s="826"/>
      <c r="B125" s="827"/>
      <c r="W125" s="806"/>
      <c r="X125" s="806"/>
      <c r="Y125" s="806"/>
    </row>
    <row r="126" spans="1:25" x14ac:dyDescent="0.2">
      <c r="A126" s="826"/>
      <c r="B126" s="827"/>
      <c r="W126" s="806"/>
      <c r="X126" s="806"/>
      <c r="Y126" s="806"/>
    </row>
    <row r="127" spans="1:25" x14ac:dyDescent="0.2">
      <c r="A127" s="826"/>
      <c r="B127" s="827"/>
      <c r="W127" s="806"/>
      <c r="X127" s="806"/>
      <c r="Y127" s="806"/>
    </row>
    <row r="128" spans="1:25" x14ac:dyDescent="0.2">
      <c r="A128" s="826"/>
      <c r="B128" s="827"/>
      <c r="W128" s="806"/>
      <c r="X128" s="806"/>
      <c r="Y128" s="806"/>
    </row>
    <row r="129" spans="1:25" x14ac:dyDescent="0.2">
      <c r="A129" s="826"/>
      <c r="B129" s="827"/>
      <c r="W129" s="806"/>
      <c r="X129" s="806"/>
      <c r="Y129" s="806"/>
    </row>
    <row r="130" spans="1:25" x14ac:dyDescent="0.2">
      <c r="A130" s="826"/>
      <c r="B130" s="827"/>
      <c r="W130" s="806"/>
      <c r="X130" s="806"/>
      <c r="Y130" s="806"/>
    </row>
    <row r="131" spans="1:25" x14ac:dyDescent="0.2">
      <c r="A131" s="826"/>
      <c r="B131" s="827"/>
      <c r="W131" s="806"/>
      <c r="X131" s="806"/>
      <c r="Y131" s="806"/>
    </row>
    <row r="132" spans="1:25" x14ac:dyDescent="0.2">
      <c r="A132" s="826"/>
      <c r="B132" s="827"/>
      <c r="W132" s="806"/>
      <c r="X132" s="806"/>
      <c r="Y132" s="806"/>
    </row>
    <row r="133" spans="1:25" x14ac:dyDescent="0.2">
      <c r="A133" s="826"/>
      <c r="B133" s="827"/>
      <c r="W133" s="806"/>
      <c r="X133" s="806"/>
      <c r="Y133" s="806"/>
    </row>
    <row r="134" spans="1:25" x14ac:dyDescent="0.2">
      <c r="A134" s="826"/>
      <c r="B134" s="827"/>
      <c r="W134" s="806"/>
      <c r="X134" s="806"/>
      <c r="Y134" s="806"/>
    </row>
    <row r="135" spans="1:25" x14ac:dyDescent="0.2">
      <c r="A135" s="826"/>
      <c r="B135" s="827"/>
      <c r="W135" s="806"/>
      <c r="X135" s="806"/>
      <c r="Y135" s="806"/>
    </row>
    <row r="136" spans="1:25" x14ac:dyDescent="0.2">
      <c r="A136" s="826"/>
      <c r="B136" s="827"/>
      <c r="W136" s="806"/>
      <c r="X136" s="806"/>
      <c r="Y136" s="806"/>
    </row>
    <row r="137" spans="1:25" x14ac:dyDescent="0.2">
      <c r="A137" s="826"/>
      <c r="B137" s="827"/>
      <c r="W137" s="806"/>
      <c r="X137" s="806"/>
      <c r="Y137" s="806"/>
    </row>
    <row r="138" spans="1:25" x14ac:dyDescent="0.2">
      <c r="A138" s="826"/>
      <c r="B138" s="827"/>
      <c r="W138" s="806"/>
      <c r="X138" s="806"/>
      <c r="Y138" s="806"/>
    </row>
    <row r="139" spans="1:25" x14ac:dyDescent="0.2">
      <c r="A139" s="826"/>
      <c r="B139" s="827"/>
      <c r="W139" s="806"/>
      <c r="X139" s="806"/>
      <c r="Y139" s="806"/>
    </row>
    <row r="140" spans="1:25" x14ac:dyDescent="0.2">
      <c r="A140" s="826"/>
      <c r="B140" s="827"/>
      <c r="W140" s="806"/>
      <c r="X140" s="806"/>
      <c r="Y140" s="806"/>
    </row>
    <row r="141" spans="1:25" x14ac:dyDescent="0.2">
      <c r="A141" s="826"/>
      <c r="B141" s="827"/>
      <c r="W141" s="806"/>
      <c r="X141" s="806"/>
      <c r="Y141" s="806"/>
    </row>
    <row r="142" spans="1:25" x14ac:dyDescent="0.2">
      <c r="A142" s="826"/>
      <c r="B142" s="827"/>
      <c r="W142" s="806"/>
      <c r="X142" s="806"/>
      <c r="Y142" s="806"/>
    </row>
    <row r="143" spans="1:25" x14ac:dyDescent="0.2">
      <c r="A143" s="826"/>
      <c r="B143" s="827"/>
      <c r="W143" s="806"/>
      <c r="X143" s="806"/>
      <c r="Y143" s="806"/>
    </row>
    <row r="144" spans="1:25" x14ac:dyDescent="0.2">
      <c r="A144" s="826"/>
      <c r="B144" s="827"/>
      <c r="W144" s="806"/>
      <c r="X144" s="806"/>
      <c r="Y144" s="806"/>
    </row>
    <row r="145" spans="1:25" x14ac:dyDescent="0.2">
      <c r="A145" s="826"/>
      <c r="B145" s="827"/>
      <c r="W145" s="806"/>
      <c r="X145" s="806"/>
      <c r="Y145" s="806"/>
    </row>
    <row r="146" spans="1:25" x14ac:dyDescent="0.2">
      <c r="A146" s="826"/>
      <c r="B146" s="827"/>
      <c r="W146" s="806"/>
      <c r="X146" s="806"/>
      <c r="Y146" s="806"/>
    </row>
    <row r="147" spans="1:25" x14ac:dyDescent="0.2">
      <c r="A147" s="826"/>
      <c r="B147" s="827"/>
      <c r="W147" s="806"/>
      <c r="X147" s="806"/>
      <c r="Y147" s="806"/>
    </row>
    <row r="148" spans="1:25" x14ac:dyDescent="0.2">
      <c r="A148" s="826"/>
      <c r="B148" s="827"/>
      <c r="W148" s="806"/>
      <c r="X148" s="806"/>
      <c r="Y148" s="806"/>
    </row>
    <row r="149" spans="1:25" x14ac:dyDescent="0.2">
      <c r="A149" s="826"/>
      <c r="B149" s="827"/>
      <c r="W149" s="806"/>
      <c r="X149" s="806"/>
      <c r="Y149" s="806"/>
    </row>
    <row r="150" spans="1:25" x14ac:dyDescent="0.2">
      <c r="A150" s="826"/>
      <c r="B150" s="827"/>
      <c r="W150" s="806"/>
      <c r="X150" s="806"/>
      <c r="Y150" s="806"/>
    </row>
    <row r="151" spans="1:25" x14ac:dyDescent="0.2">
      <c r="A151" s="826"/>
      <c r="B151" s="827"/>
      <c r="W151" s="806"/>
      <c r="X151" s="806"/>
      <c r="Y151" s="806"/>
    </row>
    <row r="152" spans="1:25" x14ac:dyDescent="0.2">
      <c r="A152" s="826"/>
      <c r="B152" s="827"/>
      <c r="W152" s="806"/>
      <c r="X152" s="806"/>
      <c r="Y152" s="806"/>
    </row>
    <row r="153" spans="1:25" x14ac:dyDescent="0.2">
      <c r="A153" s="826"/>
      <c r="B153" s="827"/>
      <c r="W153" s="806"/>
      <c r="X153" s="806"/>
      <c r="Y153" s="806"/>
    </row>
    <row r="154" spans="1:25" x14ac:dyDescent="0.2">
      <c r="A154" s="826"/>
      <c r="B154" s="827"/>
      <c r="W154" s="806"/>
      <c r="X154" s="806"/>
      <c r="Y154" s="806"/>
    </row>
    <row r="155" spans="1:25" x14ac:dyDescent="0.2">
      <c r="A155" s="826"/>
      <c r="B155" s="827"/>
      <c r="W155" s="806"/>
      <c r="X155" s="806"/>
      <c r="Y155" s="806"/>
    </row>
    <row r="156" spans="1:25" x14ac:dyDescent="0.2">
      <c r="A156" s="826"/>
      <c r="B156" s="827"/>
      <c r="W156" s="806"/>
      <c r="X156" s="806"/>
      <c r="Y156" s="806"/>
    </row>
    <row r="157" spans="1:25" x14ac:dyDescent="0.2">
      <c r="A157" s="826"/>
      <c r="B157" s="827"/>
      <c r="W157" s="806"/>
      <c r="X157" s="806"/>
      <c r="Y157" s="806"/>
    </row>
    <row r="158" spans="1:25" x14ac:dyDescent="0.2">
      <c r="A158" s="826"/>
      <c r="B158" s="827"/>
      <c r="W158" s="806"/>
      <c r="X158" s="806"/>
      <c r="Y158" s="806"/>
    </row>
    <row r="159" spans="1:25" x14ac:dyDescent="0.2">
      <c r="A159" s="826"/>
      <c r="B159" s="827"/>
      <c r="W159" s="806"/>
      <c r="X159" s="806"/>
      <c r="Y159" s="806"/>
    </row>
    <row r="160" spans="1:25" x14ac:dyDescent="0.2">
      <c r="A160" s="826"/>
      <c r="B160" s="827"/>
      <c r="W160" s="806"/>
      <c r="X160" s="806"/>
      <c r="Y160" s="806"/>
    </row>
    <row r="161" spans="1:25" x14ac:dyDescent="0.2">
      <c r="A161" s="826"/>
      <c r="B161" s="827"/>
      <c r="W161" s="806"/>
      <c r="X161" s="806"/>
      <c r="Y161" s="806"/>
    </row>
    <row r="162" spans="1:25" x14ac:dyDescent="0.2">
      <c r="A162" s="826"/>
      <c r="B162" s="827"/>
      <c r="W162" s="806"/>
      <c r="X162" s="806"/>
      <c r="Y162" s="806"/>
    </row>
    <row r="163" spans="1:25" x14ac:dyDescent="0.2">
      <c r="A163" s="826"/>
      <c r="B163" s="827"/>
      <c r="W163" s="806"/>
      <c r="X163" s="806"/>
      <c r="Y163" s="806"/>
    </row>
    <row r="164" spans="1:25" x14ac:dyDescent="0.2">
      <c r="A164" s="826"/>
      <c r="B164" s="827"/>
      <c r="W164" s="806"/>
      <c r="X164" s="806"/>
      <c r="Y164" s="806"/>
    </row>
    <row r="165" spans="1:25" x14ac:dyDescent="0.2">
      <c r="A165" s="826"/>
      <c r="B165" s="827"/>
      <c r="W165" s="806"/>
      <c r="X165" s="806"/>
      <c r="Y165" s="806"/>
    </row>
    <row r="166" spans="1:25" x14ac:dyDescent="0.2">
      <c r="A166" s="826"/>
      <c r="B166" s="827"/>
      <c r="W166" s="806"/>
      <c r="X166" s="806"/>
      <c r="Y166" s="806"/>
    </row>
    <row r="167" spans="1:25" x14ac:dyDescent="0.2">
      <c r="A167" s="826"/>
      <c r="B167" s="827"/>
      <c r="W167" s="806"/>
      <c r="X167" s="806"/>
      <c r="Y167" s="806"/>
    </row>
    <row r="168" spans="1:25" x14ac:dyDescent="0.2">
      <c r="A168" s="826"/>
      <c r="B168" s="827"/>
      <c r="W168" s="806"/>
      <c r="X168" s="806"/>
      <c r="Y168" s="806"/>
    </row>
    <row r="169" spans="1:25" x14ac:dyDescent="0.2">
      <c r="A169" s="826"/>
      <c r="B169" s="827"/>
      <c r="W169" s="806"/>
      <c r="X169" s="806"/>
      <c r="Y169" s="806"/>
    </row>
    <row r="170" spans="1:25" x14ac:dyDescent="0.2">
      <c r="A170" s="826"/>
      <c r="B170" s="827"/>
      <c r="W170" s="806"/>
      <c r="X170" s="806"/>
      <c r="Y170" s="806"/>
    </row>
    <row r="171" spans="1:25" x14ac:dyDescent="0.2">
      <c r="A171" s="826"/>
      <c r="B171" s="827"/>
      <c r="W171" s="806"/>
      <c r="X171" s="806"/>
      <c r="Y171" s="806"/>
    </row>
    <row r="172" spans="1:25" x14ac:dyDescent="0.2">
      <c r="A172" s="826"/>
      <c r="B172" s="827"/>
      <c r="W172" s="806"/>
      <c r="X172" s="806"/>
      <c r="Y172" s="806"/>
    </row>
    <row r="173" spans="1:25" x14ac:dyDescent="0.2">
      <c r="A173" s="826"/>
      <c r="B173" s="827"/>
      <c r="W173" s="806"/>
      <c r="X173" s="806"/>
      <c r="Y173" s="806"/>
    </row>
    <row r="174" spans="1:25" x14ac:dyDescent="0.2">
      <c r="A174" s="826"/>
      <c r="B174" s="827"/>
      <c r="W174" s="806"/>
      <c r="X174" s="806"/>
      <c r="Y174" s="806"/>
    </row>
    <row r="175" spans="1:25" x14ac:dyDescent="0.2">
      <c r="A175" s="826"/>
      <c r="B175" s="827"/>
      <c r="W175" s="806"/>
      <c r="X175" s="806"/>
      <c r="Y175" s="806"/>
    </row>
    <row r="176" spans="1:25" x14ac:dyDescent="0.2">
      <c r="A176" s="826"/>
      <c r="B176" s="827"/>
      <c r="W176" s="806"/>
      <c r="X176" s="806"/>
      <c r="Y176" s="806"/>
    </row>
    <row r="177" spans="1:25" x14ac:dyDescent="0.2">
      <c r="A177" s="826"/>
      <c r="B177" s="827"/>
      <c r="W177" s="806"/>
      <c r="X177" s="806"/>
      <c r="Y177" s="806"/>
    </row>
    <row r="178" spans="1:25" x14ac:dyDescent="0.2">
      <c r="A178" s="826"/>
      <c r="B178" s="827"/>
      <c r="W178" s="806"/>
      <c r="X178" s="806"/>
      <c r="Y178" s="806"/>
    </row>
    <row r="179" spans="1:25" x14ac:dyDescent="0.2">
      <c r="A179" s="826"/>
      <c r="B179" s="827"/>
      <c r="W179" s="806"/>
      <c r="X179" s="806"/>
      <c r="Y179" s="806"/>
    </row>
    <row r="180" spans="1:25" x14ac:dyDescent="0.2">
      <c r="A180" s="826"/>
      <c r="B180" s="827"/>
      <c r="W180" s="806"/>
      <c r="X180" s="806"/>
      <c r="Y180" s="806"/>
    </row>
    <row r="181" spans="1:25" x14ac:dyDescent="0.2">
      <c r="A181" s="826"/>
      <c r="B181" s="827"/>
      <c r="W181" s="806"/>
      <c r="X181" s="806"/>
      <c r="Y181" s="806"/>
    </row>
    <row r="182" spans="1:25" x14ac:dyDescent="0.2">
      <c r="A182" s="826"/>
      <c r="B182" s="827"/>
      <c r="W182" s="806"/>
      <c r="X182" s="806"/>
      <c r="Y182" s="806"/>
    </row>
    <row r="183" spans="1:25" x14ac:dyDescent="0.2">
      <c r="A183" s="826"/>
      <c r="B183" s="827"/>
      <c r="W183" s="806"/>
      <c r="X183" s="806"/>
      <c r="Y183" s="806"/>
    </row>
    <row r="184" spans="1:25" x14ac:dyDescent="0.2">
      <c r="A184" s="826"/>
      <c r="B184" s="827"/>
      <c r="W184" s="806"/>
      <c r="X184" s="806"/>
      <c r="Y184" s="806"/>
    </row>
    <row r="185" spans="1:25" x14ac:dyDescent="0.2">
      <c r="A185" s="826"/>
      <c r="B185" s="827"/>
      <c r="W185" s="806"/>
      <c r="X185" s="806"/>
      <c r="Y185" s="806"/>
    </row>
    <row r="186" spans="1:25" x14ac:dyDescent="0.2">
      <c r="A186" s="826"/>
      <c r="B186" s="827"/>
      <c r="W186" s="806"/>
      <c r="X186" s="806"/>
      <c r="Y186" s="806"/>
    </row>
    <row r="187" spans="1:25" x14ac:dyDescent="0.2">
      <c r="A187" s="826"/>
      <c r="B187" s="827"/>
      <c r="W187" s="806"/>
      <c r="X187" s="806"/>
      <c r="Y187" s="806"/>
    </row>
    <row r="188" spans="1:25" x14ac:dyDescent="0.2">
      <c r="A188" s="826"/>
      <c r="B188" s="827"/>
      <c r="W188" s="806"/>
      <c r="X188" s="806"/>
      <c r="Y188" s="806"/>
    </row>
    <row r="189" spans="1:25" x14ac:dyDescent="0.2">
      <c r="A189" s="826"/>
      <c r="B189" s="827"/>
      <c r="W189" s="806"/>
      <c r="X189" s="806"/>
      <c r="Y189" s="806"/>
    </row>
    <row r="190" spans="1:25" x14ac:dyDescent="0.2">
      <c r="A190" s="826"/>
      <c r="B190" s="827"/>
      <c r="W190" s="806"/>
      <c r="X190" s="806"/>
      <c r="Y190" s="806"/>
    </row>
    <row r="191" spans="1:25" x14ac:dyDescent="0.2">
      <c r="A191" s="826"/>
      <c r="B191" s="827"/>
      <c r="W191" s="806"/>
      <c r="X191" s="806"/>
      <c r="Y191" s="806"/>
    </row>
    <row r="192" spans="1:25" x14ac:dyDescent="0.2">
      <c r="A192" s="826"/>
      <c r="B192" s="827"/>
      <c r="W192" s="806"/>
      <c r="X192" s="806"/>
      <c r="Y192" s="806"/>
    </row>
    <row r="193" spans="1:25" x14ac:dyDescent="0.2">
      <c r="A193" s="826"/>
      <c r="B193" s="827"/>
      <c r="W193" s="806"/>
      <c r="X193" s="806"/>
      <c r="Y193" s="806"/>
    </row>
    <row r="194" spans="1:25" x14ac:dyDescent="0.2">
      <c r="A194" s="826"/>
      <c r="B194" s="827"/>
      <c r="W194" s="806"/>
      <c r="X194" s="806"/>
      <c r="Y194" s="806"/>
    </row>
    <row r="195" spans="1:25" x14ac:dyDescent="0.2">
      <c r="A195" s="826"/>
      <c r="B195" s="827"/>
      <c r="W195" s="806"/>
      <c r="X195" s="806"/>
      <c r="Y195" s="806"/>
    </row>
    <row r="196" spans="1:25" x14ac:dyDescent="0.2">
      <c r="A196" s="826"/>
      <c r="B196" s="827"/>
      <c r="W196" s="806"/>
      <c r="X196" s="806"/>
      <c r="Y196" s="806"/>
    </row>
    <row r="197" spans="1:25" x14ac:dyDescent="0.2">
      <c r="A197" s="826"/>
      <c r="B197" s="827"/>
      <c r="W197" s="806"/>
      <c r="X197" s="806"/>
      <c r="Y197" s="806"/>
    </row>
    <row r="198" spans="1:25" x14ac:dyDescent="0.2">
      <c r="A198" s="826"/>
      <c r="B198" s="827"/>
      <c r="W198" s="806"/>
      <c r="X198" s="806"/>
      <c r="Y198" s="806"/>
    </row>
    <row r="199" spans="1:25" x14ac:dyDescent="0.2">
      <c r="A199" s="826"/>
      <c r="B199" s="827"/>
      <c r="W199" s="806"/>
      <c r="X199" s="806"/>
      <c r="Y199" s="806"/>
    </row>
    <row r="200" spans="1:25" x14ac:dyDescent="0.2">
      <c r="A200" s="826"/>
      <c r="B200" s="827"/>
      <c r="W200" s="806"/>
      <c r="X200" s="806"/>
      <c r="Y200" s="806"/>
    </row>
    <row r="201" spans="1:25" x14ac:dyDescent="0.2">
      <c r="A201" s="826"/>
      <c r="B201" s="827"/>
      <c r="W201" s="806"/>
      <c r="X201" s="806"/>
      <c r="Y201" s="806"/>
    </row>
    <row r="202" spans="1:25" x14ac:dyDescent="0.2">
      <c r="A202" s="826"/>
      <c r="B202" s="827"/>
      <c r="W202" s="806"/>
      <c r="X202" s="806"/>
      <c r="Y202" s="806"/>
    </row>
    <row r="203" spans="1:25" x14ac:dyDescent="0.2">
      <c r="A203" s="826"/>
      <c r="B203" s="827"/>
      <c r="W203" s="806"/>
      <c r="X203" s="806"/>
      <c r="Y203" s="806"/>
    </row>
    <row r="204" spans="1:25" x14ac:dyDescent="0.2">
      <c r="A204" s="826"/>
      <c r="B204" s="827"/>
      <c r="W204" s="806"/>
      <c r="X204" s="806"/>
      <c r="Y204" s="806"/>
    </row>
    <row r="205" spans="1:25" x14ac:dyDescent="0.2">
      <c r="A205" s="826"/>
      <c r="B205" s="827"/>
      <c r="W205" s="806"/>
      <c r="X205" s="806"/>
      <c r="Y205" s="806"/>
    </row>
    <row r="206" spans="1:25" x14ac:dyDescent="0.2">
      <c r="A206" s="826"/>
      <c r="B206" s="827"/>
      <c r="W206" s="806"/>
      <c r="X206" s="806"/>
      <c r="Y206" s="806"/>
    </row>
    <row r="207" spans="1:25" x14ac:dyDescent="0.2">
      <c r="A207" s="826"/>
      <c r="B207" s="827"/>
      <c r="W207" s="806"/>
      <c r="X207" s="806"/>
      <c r="Y207" s="806"/>
    </row>
    <row r="208" spans="1:25" x14ac:dyDescent="0.2">
      <c r="A208" s="826"/>
      <c r="B208" s="827"/>
      <c r="W208" s="806"/>
      <c r="X208" s="806"/>
      <c r="Y208" s="806"/>
    </row>
    <row r="209" spans="1:25" x14ac:dyDescent="0.2">
      <c r="A209" s="826"/>
      <c r="B209" s="827"/>
      <c r="W209" s="806"/>
      <c r="X209" s="806"/>
      <c r="Y209" s="806"/>
    </row>
    <row r="210" spans="1:25" x14ac:dyDescent="0.2">
      <c r="A210" s="826"/>
      <c r="B210" s="827"/>
      <c r="W210" s="806"/>
      <c r="X210" s="806"/>
      <c r="Y210" s="806"/>
    </row>
    <row r="211" spans="1:25" x14ac:dyDescent="0.2">
      <c r="A211" s="826"/>
      <c r="B211" s="827"/>
      <c r="W211" s="806"/>
      <c r="X211" s="806"/>
      <c r="Y211" s="806"/>
    </row>
    <row r="212" spans="1:25" x14ac:dyDescent="0.2">
      <c r="A212" s="826"/>
      <c r="B212" s="827"/>
      <c r="W212" s="806"/>
      <c r="X212" s="806"/>
      <c r="Y212" s="806"/>
    </row>
    <row r="213" spans="1:25" x14ac:dyDescent="0.2">
      <c r="A213" s="826"/>
      <c r="B213" s="827"/>
      <c r="W213" s="806"/>
      <c r="X213" s="806"/>
      <c r="Y213" s="806"/>
    </row>
    <row r="214" spans="1:25" x14ac:dyDescent="0.2">
      <c r="A214" s="826"/>
      <c r="B214" s="827"/>
      <c r="W214" s="806"/>
      <c r="X214" s="806"/>
      <c r="Y214" s="806"/>
    </row>
    <row r="215" spans="1:25" x14ac:dyDescent="0.2">
      <c r="A215" s="826"/>
      <c r="B215" s="827"/>
      <c r="W215" s="806"/>
      <c r="X215" s="806"/>
      <c r="Y215" s="806"/>
    </row>
    <row r="216" spans="1:25" x14ac:dyDescent="0.2">
      <c r="A216" s="826"/>
      <c r="B216" s="827"/>
      <c r="W216" s="806"/>
      <c r="X216" s="806"/>
      <c r="Y216" s="806"/>
    </row>
    <row r="217" spans="1:25" x14ac:dyDescent="0.2">
      <c r="A217" s="826"/>
      <c r="B217" s="827"/>
      <c r="W217" s="806"/>
      <c r="X217" s="806"/>
      <c r="Y217" s="806"/>
    </row>
    <row r="218" spans="1:25" x14ac:dyDescent="0.2">
      <c r="A218" s="826"/>
      <c r="B218" s="827"/>
      <c r="W218" s="806"/>
      <c r="X218" s="806"/>
      <c r="Y218" s="806"/>
    </row>
    <row r="219" spans="1:25" x14ac:dyDescent="0.2">
      <c r="A219" s="826"/>
      <c r="B219" s="827"/>
      <c r="W219" s="806"/>
      <c r="X219" s="806"/>
      <c r="Y219" s="806"/>
    </row>
    <row r="220" spans="1:25" x14ac:dyDescent="0.2">
      <c r="A220" s="826"/>
      <c r="B220" s="827"/>
      <c r="W220" s="806"/>
      <c r="X220" s="806"/>
      <c r="Y220" s="806"/>
    </row>
    <row r="221" spans="1:25" x14ac:dyDescent="0.2">
      <c r="A221" s="826"/>
      <c r="B221" s="827"/>
      <c r="W221" s="806"/>
      <c r="X221" s="806"/>
      <c r="Y221" s="806"/>
    </row>
    <row r="222" spans="1:25" x14ac:dyDescent="0.2">
      <c r="A222" s="826"/>
      <c r="B222" s="827"/>
      <c r="W222" s="806"/>
      <c r="X222" s="806"/>
      <c r="Y222" s="806"/>
    </row>
    <row r="223" spans="1:25" x14ac:dyDescent="0.2">
      <c r="A223" s="826"/>
      <c r="B223" s="827"/>
      <c r="W223" s="806"/>
      <c r="X223" s="806"/>
      <c r="Y223" s="806"/>
    </row>
    <row r="224" spans="1:25" x14ac:dyDescent="0.2">
      <c r="A224" s="826"/>
      <c r="B224" s="827"/>
      <c r="W224" s="806"/>
      <c r="X224" s="806"/>
      <c r="Y224" s="806"/>
    </row>
    <row r="225" spans="1:25" x14ac:dyDescent="0.2">
      <c r="A225" s="826"/>
      <c r="B225" s="827"/>
      <c r="W225" s="806"/>
      <c r="X225" s="806"/>
      <c r="Y225" s="806"/>
    </row>
    <row r="226" spans="1:25" x14ac:dyDescent="0.2">
      <c r="A226" s="826"/>
      <c r="B226" s="827"/>
      <c r="W226" s="806"/>
      <c r="X226" s="806"/>
      <c r="Y226" s="806"/>
    </row>
    <row r="227" spans="1:25" x14ac:dyDescent="0.2">
      <c r="A227" s="826"/>
      <c r="B227" s="827"/>
      <c r="W227" s="806"/>
      <c r="X227" s="806"/>
      <c r="Y227" s="806"/>
    </row>
    <row r="228" spans="1:25" x14ac:dyDescent="0.2">
      <c r="A228" s="826"/>
      <c r="B228" s="827"/>
      <c r="W228" s="806"/>
      <c r="X228" s="806"/>
      <c r="Y228" s="806"/>
    </row>
    <row r="229" spans="1:25" x14ac:dyDescent="0.2">
      <c r="A229" s="826"/>
      <c r="B229" s="827"/>
      <c r="W229" s="806"/>
      <c r="X229" s="806"/>
      <c r="Y229" s="806"/>
    </row>
    <row r="230" spans="1:25" x14ac:dyDescent="0.2">
      <c r="A230" s="826"/>
      <c r="B230" s="827"/>
      <c r="W230" s="806"/>
      <c r="X230" s="806"/>
      <c r="Y230" s="806"/>
    </row>
    <row r="231" spans="1:25" x14ac:dyDescent="0.2">
      <c r="A231" s="826"/>
      <c r="B231" s="827"/>
      <c r="W231" s="806"/>
      <c r="X231" s="806"/>
      <c r="Y231" s="806"/>
    </row>
    <row r="232" spans="1:25" x14ac:dyDescent="0.2">
      <c r="A232" s="826"/>
      <c r="B232" s="827"/>
      <c r="W232" s="806"/>
      <c r="X232" s="806"/>
      <c r="Y232" s="806"/>
    </row>
    <row r="233" spans="1:25" x14ac:dyDescent="0.2">
      <c r="A233" s="826"/>
      <c r="B233" s="827"/>
      <c r="W233" s="806"/>
      <c r="X233" s="806"/>
      <c r="Y233" s="806"/>
    </row>
    <row r="234" spans="1:25" x14ac:dyDescent="0.2">
      <c r="A234" s="826"/>
      <c r="B234" s="827"/>
      <c r="W234" s="806"/>
      <c r="X234" s="806"/>
      <c r="Y234" s="806"/>
    </row>
    <row r="235" spans="1:25" x14ac:dyDescent="0.2">
      <c r="A235" s="826"/>
      <c r="B235" s="827"/>
      <c r="W235" s="806"/>
      <c r="X235" s="806"/>
      <c r="Y235" s="806"/>
    </row>
    <row r="236" spans="1:25" x14ac:dyDescent="0.2">
      <c r="A236" s="826"/>
      <c r="B236" s="827"/>
      <c r="W236" s="806"/>
      <c r="X236" s="806"/>
      <c r="Y236" s="806"/>
    </row>
    <row r="237" spans="1:25" x14ac:dyDescent="0.2">
      <c r="A237" s="826"/>
      <c r="B237" s="827"/>
      <c r="W237" s="806"/>
      <c r="X237" s="806"/>
      <c r="Y237" s="806"/>
    </row>
    <row r="238" spans="1:25" x14ac:dyDescent="0.2">
      <c r="A238" s="826"/>
      <c r="B238" s="827"/>
      <c r="W238" s="806"/>
      <c r="X238" s="806"/>
      <c r="Y238" s="806"/>
    </row>
    <row r="239" spans="1:25" x14ac:dyDescent="0.2">
      <c r="A239" s="826"/>
      <c r="B239" s="827"/>
      <c r="W239" s="806"/>
      <c r="X239" s="806"/>
      <c r="Y239" s="806"/>
    </row>
    <row r="240" spans="1:25" x14ac:dyDescent="0.2">
      <c r="A240" s="826"/>
      <c r="B240" s="827"/>
      <c r="W240" s="806"/>
      <c r="X240" s="806"/>
      <c r="Y240" s="806"/>
    </row>
    <row r="241" spans="1:25" x14ac:dyDescent="0.2">
      <c r="A241" s="826"/>
      <c r="B241" s="827"/>
      <c r="W241" s="806"/>
      <c r="X241" s="806"/>
      <c r="Y241" s="806"/>
    </row>
    <row r="242" spans="1:25" x14ac:dyDescent="0.2">
      <c r="A242" s="826"/>
      <c r="B242" s="827"/>
      <c r="W242" s="806"/>
      <c r="X242" s="806"/>
      <c r="Y242" s="806"/>
    </row>
    <row r="243" spans="1:25" x14ac:dyDescent="0.2">
      <c r="A243" s="826"/>
      <c r="B243" s="827"/>
      <c r="W243" s="806"/>
      <c r="X243" s="806"/>
      <c r="Y243" s="806"/>
    </row>
    <row r="244" spans="1:25" x14ac:dyDescent="0.2">
      <c r="A244" s="826"/>
      <c r="B244" s="827"/>
      <c r="W244" s="806"/>
      <c r="X244" s="806"/>
      <c r="Y244" s="806"/>
    </row>
    <row r="245" spans="1:25" x14ac:dyDescent="0.2">
      <c r="A245" s="826"/>
      <c r="B245" s="827"/>
      <c r="W245" s="806"/>
      <c r="X245" s="806"/>
      <c r="Y245" s="806"/>
    </row>
    <row r="246" spans="1:25" x14ac:dyDescent="0.2">
      <c r="A246" s="826"/>
      <c r="B246" s="827"/>
      <c r="W246" s="806"/>
      <c r="X246" s="806"/>
      <c r="Y246" s="806"/>
    </row>
    <row r="247" spans="1:25" x14ac:dyDescent="0.2">
      <c r="A247" s="826"/>
      <c r="B247" s="827"/>
      <c r="W247" s="806"/>
      <c r="X247" s="806"/>
      <c r="Y247" s="806"/>
    </row>
    <row r="248" spans="1:25" x14ac:dyDescent="0.2">
      <c r="A248" s="826"/>
      <c r="B248" s="827"/>
      <c r="W248" s="806"/>
      <c r="X248" s="806"/>
      <c r="Y248" s="806"/>
    </row>
    <row r="249" spans="1:25" x14ac:dyDescent="0.2">
      <c r="A249" s="826"/>
      <c r="B249" s="827"/>
      <c r="W249" s="806"/>
      <c r="X249" s="806"/>
      <c r="Y249" s="806"/>
    </row>
    <row r="250" spans="1:25" x14ac:dyDescent="0.2">
      <c r="A250" s="826"/>
      <c r="B250" s="827"/>
      <c r="W250" s="806"/>
      <c r="X250" s="806"/>
      <c r="Y250" s="806"/>
    </row>
    <row r="251" spans="1:25" x14ac:dyDescent="0.2">
      <c r="A251" s="826"/>
      <c r="B251" s="827"/>
      <c r="W251" s="806"/>
      <c r="X251" s="806"/>
      <c r="Y251" s="806"/>
    </row>
    <row r="252" spans="1:25" x14ac:dyDescent="0.2">
      <c r="A252" s="826"/>
      <c r="B252" s="827"/>
      <c r="W252" s="806"/>
      <c r="X252" s="806"/>
      <c r="Y252" s="806"/>
    </row>
    <row r="253" spans="1:25" x14ac:dyDescent="0.2">
      <c r="A253" s="826"/>
      <c r="B253" s="827"/>
      <c r="W253" s="806"/>
      <c r="X253" s="806"/>
      <c r="Y253" s="806"/>
    </row>
    <row r="254" spans="1:25" x14ac:dyDescent="0.2">
      <c r="A254" s="826"/>
      <c r="B254" s="827"/>
      <c r="W254" s="806"/>
      <c r="X254" s="806"/>
      <c r="Y254" s="806"/>
    </row>
    <row r="255" spans="1:25" x14ac:dyDescent="0.2">
      <c r="A255" s="826"/>
      <c r="B255" s="827"/>
      <c r="W255" s="806"/>
      <c r="X255" s="806"/>
      <c r="Y255" s="806"/>
    </row>
    <row r="256" spans="1:25" x14ac:dyDescent="0.2">
      <c r="A256" s="826"/>
      <c r="B256" s="827"/>
      <c r="W256" s="806"/>
      <c r="X256" s="806"/>
      <c r="Y256" s="806"/>
    </row>
    <row r="257" spans="1:25" x14ac:dyDescent="0.2">
      <c r="A257" s="826"/>
      <c r="B257" s="827"/>
      <c r="W257" s="806"/>
      <c r="X257" s="806"/>
      <c r="Y257" s="806"/>
    </row>
    <row r="258" spans="1:25" x14ac:dyDescent="0.2">
      <c r="A258" s="826"/>
      <c r="B258" s="827"/>
    </row>
    <row r="259" spans="1:25" x14ac:dyDescent="0.2">
      <c r="A259" s="826"/>
      <c r="B259" s="827"/>
    </row>
    <row r="260" spans="1:25" x14ac:dyDescent="0.2">
      <c r="A260" s="826"/>
      <c r="B260" s="827"/>
    </row>
    <row r="261" spans="1:25" x14ac:dyDescent="0.2">
      <c r="A261" s="826"/>
      <c r="B261" s="827"/>
    </row>
    <row r="262" spans="1:25" x14ac:dyDescent="0.2">
      <c r="A262" s="826"/>
      <c r="B262" s="827"/>
    </row>
    <row r="263" spans="1:25" x14ac:dyDescent="0.2">
      <c r="A263" s="826"/>
      <c r="B263" s="827"/>
    </row>
    <row r="264" spans="1:25" x14ac:dyDescent="0.2">
      <c r="A264" s="826"/>
      <c r="B264" s="827"/>
    </row>
    <row r="265" spans="1:25" x14ac:dyDescent="0.2">
      <c r="A265" s="826"/>
      <c r="B265" s="827"/>
    </row>
    <row r="266" spans="1:25" x14ac:dyDescent="0.2">
      <c r="A266" s="826"/>
      <c r="B266" s="827"/>
    </row>
    <row r="267" spans="1:25" x14ac:dyDescent="0.2">
      <c r="A267" s="826"/>
      <c r="B267" s="827"/>
    </row>
    <row r="268" spans="1:25" x14ac:dyDescent="0.2">
      <c r="A268" s="826"/>
      <c r="B268" s="827"/>
    </row>
    <row r="269" spans="1:25" x14ac:dyDescent="0.2">
      <c r="A269" s="826"/>
      <c r="B269" s="827"/>
    </row>
    <row r="270" spans="1:25" x14ac:dyDescent="0.2">
      <c r="A270" s="826"/>
      <c r="B270" s="827"/>
    </row>
    <row r="271" spans="1:25" x14ac:dyDescent="0.2">
      <c r="A271" s="826"/>
      <c r="B271" s="827"/>
    </row>
    <row r="272" spans="1:25" x14ac:dyDescent="0.2">
      <c r="A272" s="826"/>
      <c r="B272" s="827"/>
    </row>
    <row r="273" spans="1:2" x14ac:dyDescent="0.2">
      <c r="A273" s="826"/>
      <c r="B273" s="827"/>
    </row>
    <row r="274" spans="1:2" x14ac:dyDescent="0.2">
      <c r="A274" s="826"/>
      <c r="B274" s="827"/>
    </row>
    <row r="275" spans="1:2" x14ac:dyDescent="0.2">
      <c r="A275" s="826"/>
      <c r="B275" s="827"/>
    </row>
    <row r="276" spans="1:2" x14ac:dyDescent="0.2">
      <c r="A276" s="826"/>
      <c r="B276" s="827"/>
    </row>
    <row r="277" spans="1:2" x14ac:dyDescent="0.2">
      <c r="A277" s="826"/>
      <c r="B277" s="827"/>
    </row>
    <row r="278" spans="1:2" x14ac:dyDescent="0.2">
      <c r="A278" s="826"/>
      <c r="B278" s="827"/>
    </row>
    <row r="279" spans="1:2" x14ac:dyDescent="0.2">
      <c r="A279" s="826"/>
      <c r="B279" s="827"/>
    </row>
    <row r="280" spans="1:2" x14ac:dyDescent="0.2">
      <c r="A280" s="826"/>
      <c r="B280" s="827"/>
    </row>
    <row r="281" spans="1:2" x14ac:dyDescent="0.2">
      <c r="A281" s="826"/>
      <c r="B281" s="827"/>
    </row>
    <row r="282" spans="1:2" x14ac:dyDescent="0.2">
      <c r="A282" s="826"/>
      <c r="B282" s="827"/>
    </row>
    <row r="283" spans="1:2" x14ac:dyDescent="0.2">
      <c r="A283" s="826"/>
      <c r="B283" s="827"/>
    </row>
    <row r="284" spans="1:2" x14ac:dyDescent="0.2">
      <c r="A284" s="826"/>
      <c r="B284" s="827"/>
    </row>
    <row r="285" spans="1:2" x14ac:dyDescent="0.2">
      <c r="A285" s="826"/>
      <c r="B285" s="827"/>
    </row>
    <row r="286" spans="1:2" x14ac:dyDescent="0.2">
      <c r="A286" s="826"/>
      <c r="B286" s="827"/>
    </row>
    <row r="287" spans="1:2" x14ac:dyDescent="0.2">
      <c r="A287" s="826"/>
      <c r="B287" s="827"/>
    </row>
    <row r="288" spans="1:2" x14ac:dyDescent="0.2">
      <c r="A288" s="826"/>
      <c r="B288" s="827"/>
    </row>
    <row r="289" spans="1:2" x14ac:dyDescent="0.2">
      <c r="A289" s="826"/>
      <c r="B289" s="827"/>
    </row>
    <row r="290" spans="1:2" x14ac:dyDescent="0.2">
      <c r="A290" s="826"/>
      <c r="B290" s="827"/>
    </row>
    <row r="291" spans="1:2" x14ac:dyDescent="0.2">
      <c r="A291" s="826"/>
      <c r="B291" s="827"/>
    </row>
    <row r="292" spans="1:2" x14ac:dyDescent="0.2">
      <c r="A292" s="826"/>
      <c r="B292" s="827"/>
    </row>
    <row r="293" spans="1:2" x14ac:dyDescent="0.2">
      <c r="A293" s="826"/>
      <c r="B293" s="827"/>
    </row>
    <row r="294" spans="1:2" x14ac:dyDescent="0.2">
      <c r="A294" s="826"/>
      <c r="B294" s="827"/>
    </row>
    <row r="295" spans="1:2" x14ac:dyDescent="0.2">
      <c r="A295" s="826"/>
      <c r="B295" s="827"/>
    </row>
    <row r="296" spans="1:2" x14ac:dyDescent="0.2">
      <c r="A296" s="826"/>
      <c r="B296" s="827"/>
    </row>
    <row r="297" spans="1:2" x14ac:dyDescent="0.2">
      <c r="A297" s="826"/>
      <c r="B297" s="827"/>
    </row>
    <row r="298" spans="1:2" x14ac:dyDescent="0.2">
      <c r="A298" s="826"/>
      <c r="B298" s="827"/>
    </row>
    <row r="299" spans="1:2" x14ac:dyDescent="0.2">
      <c r="A299" s="826"/>
      <c r="B299" s="827"/>
    </row>
    <row r="300" spans="1:2" x14ac:dyDescent="0.2">
      <c r="A300" s="826"/>
      <c r="B300" s="827"/>
    </row>
    <row r="301" spans="1:2" x14ac:dyDescent="0.2">
      <c r="A301" s="826"/>
      <c r="B301" s="827"/>
    </row>
    <row r="302" spans="1:2" x14ac:dyDescent="0.2">
      <c r="A302" s="826"/>
      <c r="B302" s="827"/>
    </row>
    <row r="303" spans="1:2" x14ac:dyDescent="0.2">
      <c r="A303" s="826"/>
      <c r="B303" s="827"/>
    </row>
    <row r="304" spans="1:2" x14ac:dyDescent="0.2">
      <c r="A304" s="826"/>
      <c r="B304" s="827"/>
    </row>
    <row r="305" spans="1:2" x14ac:dyDescent="0.2">
      <c r="A305" s="826"/>
      <c r="B305" s="827"/>
    </row>
    <row r="306" spans="1:2" x14ac:dyDescent="0.2">
      <c r="A306" s="826"/>
      <c r="B306" s="827"/>
    </row>
    <row r="307" spans="1:2" x14ac:dyDescent="0.2">
      <c r="A307" s="826"/>
      <c r="B307" s="827"/>
    </row>
    <row r="308" spans="1:2" x14ac:dyDescent="0.2">
      <c r="A308" s="826"/>
      <c r="B308" s="827"/>
    </row>
    <row r="309" spans="1:2" x14ac:dyDescent="0.2">
      <c r="A309" s="826"/>
      <c r="B309" s="827"/>
    </row>
    <row r="310" spans="1:2" x14ac:dyDescent="0.2">
      <c r="A310" s="826"/>
      <c r="B310" s="827"/>
    </row>
    <row r="311" spans="1:2" x14ac:dyDescent="0.2">
      <c r="A311" s="826"/>
      <c r="B311" s="827"/>
    </row>
    <row r="312" spans="1:2" x14ac:dyDescent="0.2">
      <c r="A312" s="826"/>
      <c r="B312" s="827"/>
    </row>
    <row r="313" spans="1:2" x14ac:dyDescent="0.2">
      <c r="A313" s="826"/>
      <c r="B313" s="827"/>
    </row>
    <row r="314" spans="1:2" x14ac:dyDescent="0.2">
      <c r="A314" s="826"/>
      <c r="B314" s="827"/>
    </row>
    <row r="315" spans="1:2" x14ac:dyDescent="0.2">
      <c r="A315" s="826"/>
      <c r="B315" s="827"/>
    </row>
    <row r="316" spans="1:2" x14ac:dyDescent="0.2">
      <c r="A316" s="826"/>
      <c r="B316" s="827"/>
    </row>
    <row r="317" spans="1:2" x14ac:dyDescent="0.2">
      <c r="A317" s="826"/>
      <c r="B317" s="827"/>
    </row>
    <row r="318" spans="1:2" x14ac:dyDescent="0.2">
      <c r="A318" s="826"/>
      <c r="B318" s="827"/>
    </row>
    <row r="319" spans="1:2" x14ac:dyDescent="0.2">
      <c r="A319" s="826"/>
      <c r="B319" s="827"/>
    </row>
    <row r="320" spans="1:2" x14ac:dyDescent="0.2">
      <c r="A320" s="826"/>
      <c r="B320" s="827"/>
    </row>
    <row r="321" spans="1:2" x14ac:dyDescent="0.2">
      <c r="A321" s="826"/>
      <c r="B321" s="827"/>
    </row>
    <row r="322" spans="1:2" x14ac:dyDescent="0.2">
      <c r="A322" s="826"/>
      <c r="B322" s="827"/>
    </row>
    <row r="323" spans="1:2" x14ac:dyDescent="0.2">
      <c r="A323" s="826"/>
      <c r="B323" s="827"/>
    </row>
    <row r="324" spans="1:2" x14ac:dyDescent="0.2">
      <c r="A324" s="826"/>
      <c r="B324" s="827"/>
    </row>
    <row r="325" spans="1:2" x14ac:dyDescent="0.2">
      <c r="A325" s="826"/>
      <c r="B325" s="827"/>
    </row>
    <row r="326" spans="1:2" x14ac:dyDescent="0.2">
      <c r="A326" s="826"/>
      <c r="B326" s="827"/>
    </row>
    <row r="327" spans="1:2" x14ac:dyDescent="0.2">
      <c r="A327" s="826"/>
      <c r="B327" s="827"/>
    </row>
    <row r="328" spans="1:2" x14ac:dyDescent="0.2">
      <c r="A328" s="826"/>
      <c r="B328" s="827"/>
    </row>
    <row r="329" spans="1:2" x14ac:dyDescent="0.2">
      <c r="A329" s="826"/>
      <c r="B329" s="827"/>
    </row>
    <row r="330" spans="1:2" x14ac:dyDescent="0.2">
      <c r="A330" s="826"/>
      <c r="B330" s="827"/>
    </row>
    <row r="331" spans="1:2" x14ac:dyDescent="0.2">
      <c r="A331" s="826"/>
      <c r="B331" s="827"/>
    </row>
    <row r="332" spans="1:2" x14ac:dyDescent="0.2">
      <c r="A332" s="826"/>
      <c r="B332" s="827"/>
    </row>
    <row r="333" spans="1:2" x14ac:dyDescent="0.2">
      <c r="A333" s="826"/>
      <c r="B333" s="827"/>
    </row>
    <row r="334" spans="1:2" x14ac:dyDescent="0.2">
      <c r="A334" s="826"/>
      <c r="B334" s="827"/>
    </row>
    <row r="335" spans="1:2" x14ac:dyDescent="0.2">
      <c r="A335" s="826"/>
      <c r="B335" s="827"/>
    </row>
    <row r="336" spans="1:2" x14ac:dyDescent="0.2">
      <c r="A336" s="826"/>
      <c r="B336" s="827"/>
    </row>
    <row r="337" spans="1:2" x14ac:dyDescent="0.2">
      <c r="A337" s="826"/>
      <c r="B337" s="827"/>
    </row>
    <row r="338" spans="1:2" x14ac:dyDescent="0.2">
      <c r="A338" s="826"/>
      <c r="B338" s="827"/>
    </row>
    <row r="339" spans="1:2" x14ac:dyDescent="0.2">
      <c r="A339" s="826"/>
      <c r="B339" s="827"/>
    </row>
    <row r="340" spans="1:2" x14ac:dyDescent="0.2">
      <c r="A340" s="826"/>
      <c r="B340" s="827"/>
    </row>
    <row r="341" spans="1:2" x14ac:dyDescent="0.2">
      <c r="A341" s="826"/>
      <c r="B341" s="827"/>
    </row>
    <row r="342" spans="1:2" x14ac:dyDescent="0.2">
      <c r="A342" s="826"/>
      <c r="B342" s="827"/>
    </row>
    <row r="343" spans="1:2" x14ac:dyDescent="0.2">
      <c r="A343" s="826"/>
      <c r="B343" s="827"/>
    </row>
    <row r="344" spans="1:2" x14ac:dyDescent="0.2">
      <c r="A344" s="826"/>
      <c r="B344" s="827"/>
    </row>
    <row r="345" spans="1:2" x14ac:dyDescent="0.2">
      <c r="A345" s="826"/>
      <c r="B345" s="827"/>
    </row>
    <row r="346" spans="1:2" x14ac:dyDescent="0.2">
      <c r="A346" s="826"/>
      <c r="B346" s="827"/>
    </row>
    <row r="347" spans="1:2" x14ac:dyDescent="0.2">
      <c r="A347" s="826"/>
      <c r="B347" s="827"/>
    </row>
    <row r="348" spans="1:2" x14ac:dyDescent="0.2">
      <c r="A348" s="826"/>
      <c r="B348" s="827"/>
    </row>
    <row r="349" spans="1:2" x14ac:dyDescent="0.2">
      <c r="A349" s="826"/>
      <c r="B349" s="827"/>
    </row>
    <row r="350" spans="1:2" x14ac:dyDescent="0.2">
      <c r="A350" s="826"/>
      <c r="B350" s="827"/>
    </row>
    <row r="351" spans="1:2" x14ac:dyDescent="0.2">
      <c r="A351" s="826"/>
      <c r="B351" s="827"/>
    </row>
    <row r="352" spans="1:2" x14ac:dyDescent="0.2">
      <c r="A352" s="826"/>
      <c r="B352" s="827"/>
    </row>
    <row r="353" spans="1:2" x14ac:dyDescent="0.2">
      <c r="A353" s="826"/>
      <c r="B353" s="827"/>
    </row>
    <row r="354" spans="1:2" x14ac:dyDescent="0.2">
      <c r="A354" s="826"/>
      <c r="B354" s="827"/>
    </row>
    <row r="355" spans="1:2" x14ac:dyDescent="0.2">
      <c r="A355" s="826"/>
      <c r="B355" s="827"/>
    </row>
    <row r="356" spans="1:2" x14ac:dyDescent="0.2">
      <c r="A356" s="826"/>
      <c r="B356" s="827"/>
    </row>
    <row r="357" spans="1:2" x14ac:dyDescent="0.2">
      <c r="A357" s="826"/>
      <c r="B357" s="827"/>
    </row>
    <row r="358" spans="1:2" x14ac:dyDescent="0.2">
      <c r="A358" s="826"/>
      <c r="B358" s="827"/>
    </row>
    <row r="359" spans="1:2" x14ac:dyDescent="0.2">
      <c r="A359" s="826"/>
      <c r="B359" s="827"/>
    </row>
    <row r="360" spans="1:2" x14ac:dyDescent="0.2">
      <c r="A360" s="826"/>
      <c r="B360" s="827"/>
    </row>
    <row r="361" spans="1:2" x14ac:dyDescent="0.2">
      <c r="A361" s="826"/>
      <c r="B361" s="827"/>
    </row>
    <row r="362" spans="1:2" x14ac:dyDescent="0.2">
      <c r="A362" s="826"/>
      <c r="B362" s="827"/>
    </row>
    <row r="363" spans="1:2" x14ac:dyDescent="0.2">
      <c r="A363" s="826"/>
      <c r="B363" s="827"/>
    </row>
    <row r="364" spans="1:2" x14ac:dyDescent="0.2">
      <c r="A364" s="826"/>
      <c r="B364" s="827"/>
    </row>
    <row r="365" spans="1:2" x14ac:dyDescent="0.2">
      <c r="A365" s="826"/>
      <c r="B365" s="827"/>
    </row>
    <row r="366" spans="1:2" x14ac:dyDescent="0.2">
      <c r="A366" s="826"/>
      <c r="B366" s="827"/>
    </row>
    <row r="367" spans="1:2" x14ac:dyDescent="0.2">
      <c r="A367" s="826"/>
      <c r="B367" s="827"/>
    </row>
    <row r="368" spans="1:2" x14ac:dyDescent="0.2">
      <c r="A368" s="826"/>
      <c r="B368" s="827"/>
    </row>
    <row r="369" spans="1:2" x14ac:dyDescent="0.2">
      <c r="A369" s="826"/>
      <c r="B369" s="827"/>
    </row>
    <row r="370" spans="1:2" x14ac:dyDescent="0.2">
      <c r="A370" s="826"/>
      <c r="B370" s="827"/>
    </row>
    <row r="371" spans="1:2" x14ac:dyDescent="0.2">
      <c r="A371" s="826"/>
      <c r="B371" s="827"/>
    </row>
    <row r="372" spans="1:2" x14ac:dyDescent="0.2">
      <c r="A372" s="826"/>
      <c r="B372" s="827"/>
    </row>
    <row r="373" spans="1:2" x14ac:dyDescent="0.2">
      <c r="A373" s="826"/>
      <c r="B373" s="827"/>
    </row>
    <row r="374" spans="1:2" x14ac:dyDescent="0.2">
      <c r="A374" s="826"/>
      <c r="B374" s="827"/>
    </row>
    <row r="375" spans="1:2" x14ac:dyDescent="0.2">
      <c r="A375" s="826"/>
      <c r="B375" s="827"/>
    </row>
    <row r="376" spans="1:2" x14ac:dyDescent="0.2">
      <c r="A376" s="826"/>
      <c r="B376" s="827"/>
    </row>
    <row r="377" spans="1:2" x14ac:dyDescent="0.2">
      <c r="A377" s="826"/>
      <c r="B377" s="827"/>
    </row>
    <row r="378" spans="1:2" x14ac:dyDescent="0.2">
      <c r="A378" s="826"/>
      <c r="B378" s="827"/>
    </row>
    <row r="379" spans="1:2" x14ac:dyDescent="0.2">
      <c r="A379" s="826"/>
      <c r="B379" s="827"/>
    </row>
    <row r="380" spans="1:2" x14ac:dyDescent="0.2">
      <c r="A380" s="826"/>
      <c r="B380" s="827"/>
    </row>
    <row r="381" spans="1:2" x14ac:dyDescent="0.2">
      <c r="A381" s="826"/>
      <c r="B381" s="827"/>
    </row>
    <row r="382" spans="1:2" x14ac:dyDescent="0.2">
      <c r="A382" s="826"/>
      <c r="B382" s="827"/>
    </row>
    <row r="383" spans="1:2" x14ac:dyDescent="0.2">
      <c r="A383" s="826"/>
      <c r="B383" s="827"/>
    </row>
    <row r="384" spans="1:2" x14ac:dyDescent="0.2">
      <c r="A384" s="826"/>
      <c r="B384" s="827"/>
    </row>
    <row r="385" spans="1:2" x14ac:dyDescent="0.2">
      <c r="A385" s="826"/>
      <c r="B385" s="827"/>
    </row>
    <row r="386" spans="1:2" x14ac:dyDescent="0.2">
      <c r="A386" s="826"/>
      <c r="B386" s="827"/>
    </row>
    <row r="387" spans="1:2" x14ac:dyDescent="0.2">
      <c r="A387" s="826"/>
      <c r="B387" s="827"/>
    </row>
    <row r="388" spans="1:2" x14ac:dyDescent="0.2">
      <c r="A388" s="826"/>
      <c r="B388" s="827"/>
    </row>
    <row r="389" spans="1:2" x14ac:dyDescent="0.2">
      <c r="A389" s="826"/>
      <c r="B389" s="827"/>
    </row>
    <row r="390" spans="1:2" x14ac:dyDescent="0.2">
      <c r="A390" s="826"/>
      <c r="B390" s="827"/>
    </row>
    <row r="391" spans="1:2" x14ac:dyDescent="0.2">
      <c r="A391" s="826"/>
      <c r="B391" s="827"/>
    </row>
    <row r="392" spans="1:2" x14ac:dyDescent="0.2">
      <c r="A392" s="826"/>
      <c r="B392" s="827"/>
    </row>
    <row r="393" spans="1:2" x14ac:dyDescent="0.2">
      <c r="A393" s="826"/>
      <c r="B393" s="827"/>
    </row>
    <row r="394" spans="1:2" x14ac:dyDescent="0.2">
      <c r="A394" s="826"/>
      <c r="B394" s="827"/>
    </row>
    <row r="395" spans="1:2" x14ac:dyDescent="0.2">
      <c r="A395" s="826"/>
      <c r="B395" s="827"/>
    </row>
    <row r="396" spans="1:2" x14ac:dyDescent="0.2">
      <c r="A396" s="826"/>
      <c r="B396" s="827"/>
    </row>
    <row r="397" spans="1:2" x14ac:dyDescent="0.2">
      <c r="A397" s="826"/>
      <c r="B397" s="827"/>
    </row>
    <row r="398" spans="1:2" x14ac:dyDescent="0.2">
      <c r="A398" s="826"/>
      <c r="B398" s="827"/>
    </row>
    <row r="399" spans="1:2" x14ac:dyDescent="0.2">
      <c r="A399" s="826"/>
      <c r="B399" s="827"/>
    </row>
    <row r="400" spans="1:2" x14ac:dyDescent="0.2">
      <c r="A400" s="826"/>
      <c r="B400" s="827"/>
    </row>
    <row r="401" spans="1:2" x14ac:dyDescent="0.2">
      <c r="A401" s="826"/>
      <c r="B401" s="827"/>
    </row>
    <row r="402" spans="1:2" x14ac:dyDescent="0.2">
      <c r="A402" s="826"/>
      <c r="B402" s="827"/>
    </row>
    <row r="403" spans="1:2" x14ac:dyDescent="0.2">
      <c r="A403" s="826"/>
      <c r="B403" s="827"/>
    </row>
    <row r="404" spans="1:2" x14ac:dyDescent="0.2">
      <c r="A404" s="826"/>
      <c r="B404" s="827"/>
    </row>
    <row r="405" spans="1:2" x14ac:dyDescent="0.2">
      <c r="A405" s="826"/>
      <c r="B405" s="827"/>
    </row>
    <row r="406" spans="1:2" x14ac:dyDescent="0.2">
      <c r="A406" s="826"/>
      <c r="B406" s="827"/>
    </row>
    <row r="407" spans="1:2" x14ac:dyDescent="0.2">
      <c r="A407" s="826"/>
      <c r="B407" s="827"/>
    </row>
    <row r="408" spans="1:2" x14ac:dyDescent="0.2">
      <c r="A408" s="826"/>
      <c r="B408" s="827"/>
    </row>
    <row r="409" spans="1:2" x14ac:dyDescent="0.2">
      <c r="A409" s="826"/>
      <c r="B409" s="827"/>
    </row>
    <row r="410" spans="1:2" x14ac:dyDescent="0.2">
      <c r="A410" s="826"/>
      <c r="B410" s="827"/>
    </row>
    <row r="411" spans="1:2" x14ac:dyDescent="0.2">
      <c r="A411" s="826"/>
      <c r="B411" s="827"/>
    </row>
    <row r="412" spans="1:2" x14ac:dyDescent="0.2">
      <c r="A412" s="826"/>
      <c r="B412" s="827"/>
    </row>
    <row r="413" spans="1:2" x14ac:dyDescent="0.2">
      <c r="A413" s="826"/>
      <c r="B413" s="827"/>
    </row>
    <row r="414" spans="1:2" x14ac:dyDescent="0.2">
      <c r="A414" s="826"/>
      <c r="B414" s="827"/>
    </row>
    <row r="415" spans="1:2" x14ac:dyDescent="0.2">
      <c r="A415" s="826"/>
      <c r="B415" s="827"/>
    </row>
    <row r="416" spans="1:2" x14ac:dyDescent="0.2">
      <c r="A416" s="826"/>
      <c r="B416" s="827"/>
    </row>
    <row r="417" spans="1:2" x14ac:dyDescent="0.2">
      <c r="A417" s="826"/>
      <c r="B417" s="827"/>
    </row>
    <row r="418" spans="1:2" x14ac:dyDescent="0.2">
      <c r="A418" s="826"/>
      <c r="B418" s="827"/>
    </row>
    <row r="419" spans="1:2" x14ac:dyDescent="0.2">
      <c r="A419" s="826"/>
      <c r="B419" s="827"/>
    </row>
    <row r="420" spans="1:2" x14ac:dyDescent="0.2">
      <c r="A420" s="826"/>
      <c r="B420" s="827"/>
    </row>
    <row r="421" spans="1:2" x14ac:dyDescent="0.2">
      <c r="A421" s="826"/>
      <c r="B421" s="827"/>
    </row>
    <row r="422" spans="1:2" x14ac:dyDescent="0.2">
      <c r="A422" s="826"/>
      <c r="B422" s="827"/>
    </row>
    <row r="423" spans="1:2" x14ac:dyDescent="0.2">
      <c r="A423" s="826"/>
      <c r="B423" s="827"/>
    </row>
    <row r="424" spans="1:2" x14ac:dyDescent="0.2">
      <c r="A424" s="826"/>
      <c r="B424" s="827"/>
    </row>
    <row r="425" spans="1:2" x14ac:dyDescent="0.2">
      <c r="A425" s="826"/>
      <c r="B425" s="827"/>
    </row>
    <row r="426" spans="1:2" x14ac:dyDescent="0.2">
      <c r="A426" s="826"/>
      <c r="B426" s="827"/>
    </row>
    <row r="427" spans="1:2" x14ac:dyDescent="0.2">
      <c r="A427" s="826"/>
      <c r="B427" s="827"/>
    </row>
    <row r="428" spans="1:2" x14ac:dyDescent="0.2">
      <c r="A428" s="826"/>
      <c r="B428" s="827"/>
    </row>
    <row r="429" spans="1:2" x14ac:dyDescent="0.2">
      <c r="A429" s="826"/>
      <c r="B429" s="827"/>
    </row>
    <row r="430" spans="1:2" x14ac:dyDescent="0.2">
      <c r="A430" s="826"/>
      <c r="B430" s="827"/>
    </row>
    <row r="431" spans="1:2" x14ac:dyDescent="0.2">
      <c r="A431" s="826"/>
      <c r="B431" s="827"/>
    </row>
    <row r="432" spans="1:2" x14ac:dyDescent="0.2">
      <c r="A432" s="826"/>
      <c r="B432" s="827"/>
    </row>
    <row r="433" spans="1:2" x14ac:dyDescent="0.2">
      <c r="A433" s="826"/>
      <c r="B433" s="827"/>
    </row>
    <row r="434" spans="1:2" x14ac:dyDescent="0.2">
      <c r="A434" s="826"/>
      <c r="B434" s="827"/>
    </row>
    <row r="435" spans="1:2" x14ac:dyDescent="0.2">
      <c r="A435" s="826"/>
      <c r="B435" s="827"/>
    </row>
    <row r="436" spans="1:2" x14ac:dyDescent="0.2">
      <c r="A436" s="826"/>
      <c r="B436" s="827"/>
    </row>
    <row r="437" spans="1:2" x14ac:dyDescent="0.2">
      <c r="A437" s="826"/>
      <c r="B437" s="827"/>
    </row>
    <row r="438" spans="1:2" x14ac:dyDescent="0.2">
      <c r="A438" s="826"/>
      <c r="B438" s="827"/>
    </row>
    <row r="439" spans="1:2" x14ac:dyDescent="0.2">
      <c r="A439" s="826"/>
      <c r="B439" s="827"/>
    </row>
    <row r="440" spans="1:2" x14ac:dyDescent="0.2">
      <c r="A440" s="826"/>
      <c r="B440" s="827"/>
    </row>
    <row r="441" spans="1:2" x14ac:dyDescent="0.2">
      <c r="A441" s="826"/>
      <c r="B441" s="827"/>
    </row>
    <row r="442" spans="1:2" x14ac:dyDescent="0.2">
      <c r="A442" s="826"/>
      <c r="B442" s="827"/>
    </row>
    <row r="443" spans="1:2" x14ac:dyDescent="0.2">
      <c r="A443" s="826"/>
      <c r="B443" s="827"/>
    </row>
    <row r="444" spans="1:2" x14ac:dyDescent="0.2">
      <c r="A444" s="826"/>
      <c r="B444" s="827"/>
    </row>
    <row r="445" spans="1:2" x14ac:dyDescent="0.2">
      <c r="A445" s="826"/>
      <c r="B445" s="827"/>
    </row>
    <row r="446" spans="1:2" x14ac:dyDescent="0.2">
      <c r="A446" s="826"/>
      <c r="B446" s="827"/>
    </row>
    <row r="447" spans="1:2" x14ac:dyDescent="0.2">
      <c r="A447" s="826"/>
      <c r="B447" s="827"/>
    </row>
    <row r="448" spans="1:2" x14ac:dyDescent="0.2">
      <c r="A448" s="826"/>
      <c r="B448" s="827"/>
    </row>
    <row r="449" spans="1:2" x14ac:dyDescent="0.2">
      <c r="A449" s="826"/>
      <c r="B449" s="827"/>
    </row>
    <row r="450" spans="1:2" x14ac:dyDescent="0.2">
      <c r="A450" s="826"/>
      <c r="B450" s="827"/>
    </row>
    <row r="451" spans="1:2" x14ac:dyDescent="0.2">
      <c r="A451" s="826"/>
      <c r="B451" s="827"/>
    </row>
    <row r="452" spans="1:2" x14ac:dyDescent="0.2">
      <c r="A452" s="826"/>
      <c r="B452" s="827"/>
    </row>
    <row r="453" spans="1:2" x14ac:dyDescent="0.2">
      <c r="A453" s="826"/>
      <c r="B453" s="827"/>
    </row>
    <row r="454" spans="1:2" x14ac:dyDescent="0.2">
      <c r="A454" s="826"/>
      <c r="B454" s="827"/>
    </row>
    <row r="455" spans="1:2" x14ac:dyDescent="0.2">
      <c r="A455" s="826"/>
      <c r="B455" s="827"/>
    </row>
    <row r="456" spans="1:2" x14ac:dyDescent="0.2">
      <c r="A456" s="826"/>
      <c r="B456" s="827"/>
    </row>
    <row r="457" spans="1:2" x14ac:dyDescent="0.2">
      <c r="A457" s="826"/>
      <c r="B457" s="827"/>
    </row>
    <row r="458" spans="1:2" x14ac:dyDescent="0.2">
      <c r="A458" s="826"/>
      <c r="B458" s="827"/>
    </row>
    <row r="459" spans="1:2" x14ac:dyDescent="0.2">
      <c r="A459" s="826"/>
      <c r="B459" s="827"/>
    </row>
    <row r="460" spans="1:2" x14ac:dyDescent="0.2">
      <c r="A460" s="826"/>
      <c r="B460" s="827"/>
    </row>
    <row r="461" spans="1:2" x14ac:dyDescent="0.2">
      <c r="A461" s="826"/>
      <c r="B461" s="827"/>
    </row>
    <row r="462" spans="1:2" x14ac:dyDescent="0.2">
      <c r="A462" s="826"/>
      <c r="B462" s="827"/>
    </row>
    <row r="463" spans="1:2" x14ac:dyDescent="0.2">
      <c r="A463" s="826"/>
      <c r="B463" s="827"/>
    </row>
    <row r="464" spans="1:2" x14ac:dyDescent="0.2">
      <c r="A464" s="826"/>
      <c r="B464" s="827"/>
    </row>
    <row r="465" spans="1:2" x14ac:dyDescent="0.2">
      <c r="A465" s="826"/>
      <c r="B465" s="827"/>
    </row>
    <row r="466" spans="1:2" x14ac:dyDescent="0.2">
      <c r="A466" s="826"/>
      <c r="B466" s="827"/>
    </row>
    <row r="467" spans="1:2" x14ac:dyDescent="0.2">
      <c r="A467" s="826"/>
      <c r="B467" s="827"/>
    </row>
    <row r="468" spans="1:2" x14ac:dyDescent="0.2">
      <c r="A468" s="826"/>
      <c r="B468" s="827"/>
    </row>
    <row r="469" spans="1:2" x14ac:dyDescent="0.2">
      <c r="A469" s="826"/>
      <c r="B469" s="827"/>
    </row>
    <row r="470" spans="1:2" x14ac:dyDescent="0.2">
      <c r="A470" s="826"/>
      <c r="B470" s="827"/>
    </row>
    <row r="471" spans="1:2" x14ac:dyDescent="0.2">
      <c r="A471" s="826"/>
      <c r="B471" s="827"/>
    </row>
    <row r="472" spans="1:2" x14ac:dyDescent="0.2">
      <c r="A472" s="826"/>
      <c r="B472" s="827"/>
    </row>
    <row r="473" spans="1:2" x14ac:dyDescent="0.2">
      <c r="A473" s="826"/>
      <c r="B473" s="827"/>
    </row>
    <row r="474" spans="1:2" x14ac:dyDescent="0.2">
      <c r="A474" s="826"/>
      <c r="B474" s="827"/>
    </row>
    <row r="475" spans="1:2" x14ac:dyDescent="0.2">
      <c r="A475" s="826"/>
      <c r="B475" s="827"/>
    </row>
    <row r="476" spans="1:2" x14ac:dyDescent="0.2">
      <c r="A476" s="826"/>
      <c r="B476" s="827"/>
    </row>
    <row r="477" spans="1:2" x14ac:dyDescent="0.2">
      <c r="A477" s="826"/>
      <c r="B477" s="827"/>
    </row>
    <row r="478" spans="1:2" x14ac:dyDescent="0.2">
      <c r="A478" s="826"/>
      <c r="B478" s="827"/>
    </row>
    <row r="479" spans="1:2" x14ac:dyDescent="0.2">
      <c r="A479" s="826"/>
      <c r="B479" s="827"/>
    </row>
    <row r="480" spans="1:2" x14ac:dyDescent="0.2">
      <c r="A480" s="826"/>
      <c r="B480" s="827"/>
    </row>
    <row r="481" spans="1:2" x14ac:dyDescent="0.2">
      <c r="A481" s="826"/>
      <c r="B481" s="827"/>
    </row>
    <row r="482" spans="1:2" x14ac:dyDescent="0.2">
      <c r="A482" s="826"/>
      <c r="B482" s="827"/>
    </row>
    <row r="483" spans="1:2" x14ac:dyDescent="0.2">
      <c r="A483" s="826"/>
      <c r="B483" s="827"/>
    </row>
    <row r="484" spans="1:2" x14ac:dyDescent="0.2">
      <c r="A484" s="826"/>
      <c r="B484" s="827"/>
    </row>
    <row r="485" spans="1:2" x14ac:dyDescent="0.2">
      <c r="A485" s="826"/>
      <c r="B485" s="827"/>
    </row>
    <row r="486" spans="1:2" x14ac:dyDescent="0.2">
      <c r="A486" s="826"/>
      <c r="B486" s="827"/>
    </row>
    <row r="487" spans="1:2" x14ac:dyDescent="0.2">
      <c r="A487" s="826"/>
      <c r="B487" s="827"/>
    </row>
    <row r="488" spans="1:2" x14ac:dyDescent="0.2">
      <c r="A488" s="826"/>
      <c r="B488" s="827"/>
    </row>
    <row r="489" spans="1:2" x14ac:dyDescent="0.2">
      <c r="A489" s="826"/>
      <c r="B489" s="827"/>
    </row>
    <row r="490" spans="1:2" x14ac:dyDescent="0.2">
      <c r="A490" s="826"/>
      <c r="B490" s="827"/>
    </row>
    <row r="491" spans="1:2" x14ac:dyDescent="0.2">
      <c r="A491" s="826"/>
      <c r="B491" s="827"/>
    </row>
    <row r="492" spans="1:2" x14ac:dyDescent="0.2">
      <c r="A492" s="826"/>
      <c r="B492" s="827"/>
    </row>
    <row r="493" spans="1:2" x14ac:dyDescent="0.2">
      <c r="A493" s="826"/>
      <c r="B493" s="827"/>
    </row>
    <row r="494" spans="1:2" x14ac:dyDescent="0.2">
      <c r="A494" s="826"/>
      <c r="B494" s="827"/>
    </row>
    <row r="495" spans="1:2" x14ac:dyDescent="0.2">
      <c r="A495" s="826"/>
      <c r="B495" s="827"/>
    </row>
    <row r="496" spans="1:2" x14ac:dyDescent="0.2">
      <c r="A496" s="826"/>
      <c r="B496" s="827"/>
    </row>
    <row r="497" spans="1:2" x14ac:dyDescent="0.2">
      <c r="A497" s="826"/>
      <c r="B497" s="827"/>
    </row>
    <row r="498" spans="1:2" x14ac:dyDescent="0.2">
      <c r="A498" s="826"/>
      <c r="B498" s="827"/>
    </row>
    <row r="499" spans="1:2" x14ac:dyDescent="0.2">
      <c r="A499" s="826"/>
      <c r="B499" s="827"/>
    </row>
    <row r="500" spans="1:2" x14ac:dyDescent="0.2">
      <c r="A500" s="826"/>
      <c r="B500" s="827"/>
    </row>
    <row r="501" spans="1:2" x14ac:dyDescent="0.2">
      <c r="A501" s="826"/>
      <c r="B501" s="827"/>
    </row>
    <row r="502" spans="1:2" x14ac:dyDescent="0.2">
      <c r="A502" s="826"/>
      <c r="B502" s="827"/>
    </row>
    <row r="503" spans="1:2" x14ac:dyDescent="0.2">
      <c r="A503" s="826"/>
      <c r="B503" s="827"/>
    </row>
    <row r="504" spans="1:2" x14ac:dyDescent="0.2">
      <c r="A504" s="826"/>
      <c r="B504" s="827"/>
    </row>
    <row r="505" spans="1:2" x14ac:dyDescent="0.2">
      <c r="A505" s="826"/>
      <c r="B505" s="827"/>
    </row>
    <row r="506" spans="1:2" x14ac:dyDescent="0.2">
      <c r="A506" s="826"/>
      <c r="B506" s="827"/>
    </row>
    <row r="507" spans="1:2" x14ac:dyDescent="0.2">
      <c r="A507" s="826"/>
      <c r="B507" s="827"/>
    </row>
    <row r="508" spans="1:2" x14ac:dyDescent="0.2">
      <c r="A508" s="826"/>
      <c r="B508" s="827"/>
    </row>
    <row r="509" spans="1:2" x14ac:dyDescent="0.2">
      <c r="A509" s="826"/>
      <c r="B509" s="827"/>
    </row>
    <row r="510" spans="1:2" x14ac:dyDescent="0.2">
      <c r="A510" s="826"/>
      <c r="B510" s="827"/>
    </row>
    <row r="511" spans="1:2" x14ac:dyDescent="0.2">
      <c r="A511" s="826"/>
      <c r="B511" s="827"/>
    </row>
    <row r="512" spans="1:2" x14ac:dyDescent="0.2">
      <c r="A512" s="826"/>
      <c r="B512" s="827"/>
    </row>
    <row r="513" spans="1:2" x14ac:dyDescent="0.2">
      <c r="A513" s="826"/>
      <c r="B513" s="827"/>
    </row>
    <row r="514" spans="1:2" x14ac:dyDescent="0.2">
      <c r="A514" s="826"/>
      <c r="B514" s="827"/>
    </row>
    <row r="515" spans="1:2" x14ac:dyDescent="0.2">
      <c r="A515" s="826"/>
      <c r="B515" s="827"/>
    </row>
    <row r="516" spans="1:2" x14ac:dyDescent="0.2">
      <c r="A516" s="826"/>
      <c r="B516" s="827"/>
    </row>
    <row r="517" spans="1:2" x14ac:dyDescent="0.2">
      <c r="A517" s="826"/>
      <c r="B517" s="827"/>
    </row>
    <row r="518" spans="1:2" x14ac:dyDescent="0.2">
      <c r="A518" s="826"/>
      <c r="B518" s="827"/>
    </row>
    <row r="519" spans="1:2" x14ac:dyDescent="0.2">
      <c r="A519" s="826"/>
      <c r="B519" s="827"/>
    </row>
    <row r="520" spans="1:2" x14ac:dyDescent="0.2">
      <c r="A520" s="826"/>
      <c r="B520" s="827"/>
    </row>
    <row r="521" spans="1:2" x14ac:dyDescent="0.2">
      <c r="A521" s="826"/>
      <c r="B521" s="827"/>
    </row>
    <row r="522" spans="1:2" x14ac:dyDescent="0.2">
      <c r="A522" s="826"/>
      <c r="B522" s="827"/>
    </row>
    <row r="523" spans="1:2" x14ac:dyDescent="0.2">
      <c r="A523" s="826"/>
      <c r="B523" s="827"/>
    </row>
    <row r="524" spans="1:2" x14ac:dyDescent="0.2">
      <c r="A524" s="826"/>
      <c r="B524" s="827"/>
    </row>
    <row r="525" spans="1:2" x14ac:dyDescent="0.2">
      <c r="A525" s="826"/>
      <c r="B525" s="827"/>
    </row>
    <row r="526" spans="1:2" x14ac:dyDescent="0.2">
      <c r="A526" s="826"/>
      <c r="B526" s="827"/>
    </row>
    <row r="527" spans="1:2" x14ac:dyDescent="0.2">
      <c r="A527" s="826"/>
      <c r="B527" s="827"/>
    </row>
    <row r="528" spans="1:2" x14ac:dyDescent="0.2">
      <c r="A528" s="826"/>
      <c r="B528" s="827"/>
    </row>
    <row r="529" spans="1:2" x14ac:dyDescent="0.2">
      <c r="A529" s="826"/>
      <c r="B529" s="827"/>
    </row>
    <row r="530" spans="1:2" x14ac:dyDescent="0.2">
      <c r="A530" s="826"/>
      <c r="B530" s="827"/>
    </row>
    <row r="531" spans="1:2" x14ac:dyDescent="0.2">
      <c r="A531" s="826"/>
      <c r="B531" s="827"/>
    </row>
    <row r="532" spans="1:2" x14ac:dyDescent="0.2">
      <c r="A532" s="826"/>
      <c r="B532" s="827"/>
    </row>
    <row r="533" spans="1:2" x14ac:dyDescent="0.2">
      <c r="A533" s="826"/>
      <c r="B533" s="827"/>
    </row>
    <row r="534" spans="1:2" x14ac:dyDescent="0.2">
      <c r="A534" s="826"/>
      <c r="B534" s="827"/>
    </row>
    <row r="535" spans="1:2" x14ac:dyDescent="0.2">
      <c r="A535" s="826"/>
      <c r="B535" s="827"/>
    </row>
    <row r="536" spans="1:2" x14ac:dyDescent="0.2">
      <c r="A536" s="826"/>
      <c r="B536" s="827"/>
    </row>
    <row r="537" spans="1:2" x14ac:dyDescent="0.2">
      <c r="A537" s="826"/>
      <c r="B537" s="827"/>
    </row>
    <row r="538" spans="1:2" x14ac:dyDescent="0.2">
      <c r="A538" s="826"/>
      <c r="B538" s="827"/>
    </row>
    <row r="539" spans="1:2" x14ac:dyDescent="0.2">
      <c r="A539" s="826"/>
      <c r="B539" s="827"/>
    </row>
    <row r="540" spans="1:2" x14ac:dyDescent="0.2">
      <c r="A540" s="826"/>
      <c r="B540" s="827"/>
    </row>
    <row r="541" spans="1:2" x14ac:dyDescent="0.2">
      <c r="A541" s="826"/>
      <c r="B541" s="827"/>
    </row>
    <row r="542" spans="1:2" x14ac:dyDescent="0.2">
      <c r="A542" s="826"/>
      <c r="B542" s="827"/>
    </row>
    <row r="543" spans="1:2" x14ac:dyDescent="0.2">
      <c r="A543" s="826"/>
      <c r="B543" s="827"/>
    </row>
    <row r="544" spans="1:2" x14ac:dyDescent="0.2">
      <c r="A544" s="826"/>
      <c r="B544" s="827"/>
    </row>
    <row r="545" spans="1:2" x14ac:dyDescent="0.2">
      <c r="A545" s="826"/>
      <c r="B545" s="827"/>
    </row>
    <row r="546" spans="1:2" x14ac:dyDescent="0.2">
      <c r="A546" s="826"/>
      <c r="B546" s="827"/>
    </row>
    <row r="547" spans="1:2" x14ac:dyDescent="0.2">
      <c r="A547" s="826"/>
      <c r="B547" s="827"/>
    </row>
    <row r="548" spans="1:2" x14ac:dyDescent="0.2">
      <c r="A548" s="826"/>
      <c r="B548" s="827"/>
    </row>
    <row r="549" spans="1:2" x14ac:dyDescent="0.2">
      <c r="A549" s="826"/>
      <c r="B549" s="827"/>
    </row>
    <row r="550" spans="1:2" x14ac:dyDescent="0.2">
      <c r="A550" s="826"/>
      <c r="B550" s="827"/>
    </row>
    <row r="551" spans="1:2" x14ac:dyDescent="0.2">
      <c r="A551" s="826"/>
      <c r="B551" s="827"/>
    </row>
    <row r="552" spans="1:2" x14ac:dyDescent="0.2">
      <c r="A552" s="826"/>
      <c r="B552" s="827"/>
    </row>
    <row r="553" spans="1:2" x14ac:dyDescent="0.2">
      <c r="A553" s="826"/>
      <c r="B553" s="827"/>
    </row>
    <row r="554" spans="1:2" x14ac:dyDescent="0.2">
      <c r="A554" s="826"/>
      <c r="B554" s="827"/>
    </row>
    <row r="555" spans="1:2" x14ac:dyDescent="0.2">
      <c r="A555" s="826"/>
      <c r="B555" s="827"/>
    </row>
    <row r="556" spans="1:2" x14ac:dyDescent="0.2">
      <c r="A556" s="826"/>
      <c r="B556" s="827"/>
    </row>
    <row r="557" spans="1:2" x14ac:dyDescent="0.2">
      <c r="A557" s="826"/>
      <c r="B557" s="827"/>
    </row>
    <row r="558" spans="1:2" x14ac:dyDescent="0.2">
      <c r="A558" s="826"/>
      <c r="B558" s="827"/>
    </row>
    <row r="559" spans="1:2" x14ac:dyDescent="0.2">
      <c r="A559" s="826"/>
      <c r="B559" s="827"/>
    </row>
    <row r="560" spans="1:2" x14ac:dyDescent="0.2">
      <c r="A560" s="826"/>
      <c r="B560" s="827"/>
    </row>
    <row r="561" spans="1:2" x14ac:dyDescent="0.2">
      <c r="A561" s="826"/>
      <c r="B561" s="827"/>
    </row>
    <row r="562" spans="1:2" x14ac:dyDescent="0.2">
      <c r="A562" s="826"/>
      <c r="B562" s="827"/>
    </row>
    <row r="563" spans="1:2" x14ac:dyDescent="0.2">
      <c r="A563" s="826"/>
      <c r="B563" s="827"/>
    </row>
    <row r="564" spans="1:2" x14ac:dyDescent="0.2">
      <c r="A564" s="826"/>
      <c r="B564" s="827"/>
    </row>
    <row r="565" spans="1:2" x14ac:dyDescent="0.2">
      <c r="A565" s="826"/>
      <c r="B565" s="827"/>
    </row>
    <row r="566" spans="1:2" x14ac:dyDescent="0.2">
      <c r="A566" s="826"/>
      <c r="B566" s="827"/>
    </row>
    <row r="567" spans="1:2" x14ac:dyDescent="0.2">
      <c r="A567" s="826"/>
      <c r="B567" s="827"/>
    </row>
    <row r="568" spans="1:2" x14ac:dyDescent="0.2">
      <c r="A568" s="826"/>
      <c r="B568" s="827"/>
    </row>
    <row r="569" spans="1:2" x14ac:dyDescent="0.2">
      <c r="A569" s="826"/>
      <c r="B569" s="827"/>
    </row>
    <row r="570" spans="1:2" x14ac:dyDescent="0.2">
      <c r="A570" s="826"/>
      <c r="B570" s="827"/>
    </row>
    <row r="571" spans="1:2" x14ac:dyDescent="0.2">
      <c r="A571" s="826"/>
      <c r="B571" s="827"/>
    </row>
    <row r="572" spans="1:2" x14ac:dyDescent="0.2">
      <c r="A572" s="826"/>
      <c r="B572" s="827"/>
    </row>
    <row r="573" spans="1:2" x14ac:dyDescent="0.2">
      <c r="A573" s="826"/>
      <c r="B573" s="827"/>
    </row>
    <row r="574" spans="1:2" x14ac:dyDescent="0.2">
      <c r="A574" s="826"/>
      <c r="B574" s="827"/>
    </row>
    <row r="575" spans="1:2" x14ac:dyDescent="0.2">
      <c r="A575" s="826"/>
      <c r="B575" s="827"/>
    </row>
    <row r="576" spans="1:2" x14ac:dyDescent="0.2">
      <c r="A576" s="826"/>
      <c r="B576" s="827"/>
    </row>
    <row r="577" spans="1:2" x14ac:dyDescent="0.2">
      <c r="A577" s="826"/>
      <c r="B577" s="827"/>
    </row>
    <row r="578" spans="1:2" x14ac:dyDescent="0.2">
      <c r="A578" s="826"/>
      <c r="B578" s="827"/>
    </row>
    <row r="579" spans="1:2" x14ac:dyDescent="0.2">
      <c r="A579" s="826"/>
      <c r="B579" s="827"/>
    </row>
    <row r="580" spans="1:2" x14ac:dyDescent="0.2">
      <c r="A580" s="826"/>
      <c r="B580" s="827"/>
    </row>
    <row r="581" spans="1:2" x14ac:dyDescent="0.2">
      <c r="A581" s="826"/>
      <c r="B581" s="827"/>
    </row>
    <row r="582" spans="1:2" x14ac:dyDescent="0.2">
      <c r="A582" s="826"/>
      <c r="B582" s="827"/>
    </row>
    <row r="583" spans="1:2" x14ac:dyDescent="0.2">
      <c r="A583" s="826"/>
      <c r="B583" s="827"/>
    </row>
    <row r="584" spans="1:2" x14ac:dyDescent="0.2">
      <c r="A584" s="826"/>
      <c r="B584" s="827"/>
    </row>
    <row r="585" spans="1:2" x14ac:dyDescent="0.2">
      <c r="A585" s="826"/>
      <c r="B585" s="827"/>
    </row>
    <row r="586" spans="1:2" x14ac:dyDescent="0.2">
      <c r="A586" s="826"/>
      <c r="B586" s="827"/>
    </row>
    <row r="587" spans="1:2" x14ac:dyDescent="0.2">
      <c r="A587" s="826"/>
      <c r="B587" s="827"/>
    </row>
    <row r="588" spans="1:2" x14ac:dyDescent="0.2">
      <c r="A588" s="826"/>
      <c r="B588" s="827"/>
    </row>
    <row r="589" spans="1:2" x14ac:dyDescent="0.2">
      <c r="A589" s="826"/>
      <c r="B589" s="827"/>
    </row>
    <row r="590" spans="1:2" x14ac:dyDescent="0.2">
      <c r="A590" s="826"/>
      <c r="B590" s="827"/>
    </row>
    <row r="591" spans="1:2" x14ac:dyDescent="0.2">
      <c r="A591" s="826"/>
      <c r="B591" s="827"/>
    </row>
    <row r="592" spans="1:2" x14ac:dyDescent="0.2">
      <c r="A592" s="826"/>
      <c r="B592" s="827"/>
    </row>
    <row r="593" spans="1:2" x14ac:dyDescent="0.2">
      <c r="A593" s="826"/>
      <c r="B593" s="827"/>
    </row>
    <row r="594" spans="1:2" x14ac:dyDescent="0.2">
      <c r="A594" s="826"/>
      <c r="B594" s="827"/>
    </row>
    <row r="595" spans="1:2" x14ac:dyDescent="0.2">
      <c r="A595" s="826"/>
      <c r="B595" s="827"/>
    </row>
    <row r="596" spans="1:2" x14ac:dyDescent="0.2">
      <c r="A596" s="826"/>
      <c r="B596" s="827"/>
    </row>
    <row r="597" spans="1:2" x14ac:dyDescent="0.2">
      <c r="A597" s="826"/>
      <c r="B597" s="827"/>
    </row>
    <row r="598" spans="1:2" x14ac:dyDescent="0.2">
      <c r="A598" s="826"/>
      <c r="B598" s="827"/>
    </row>
    <row r="599" spans="1:2" x14ac:dyDescent="0.2">
      <c r="A599" s="826"/>
      <c r="B599" s="827"/>
    </row>
    <row r="600" spans="1:2" x14ac:dyDescent="0.2">
      <c r="A600" s="826"/>
      <c r="B600" s="827"/>
    </row>
    <row r="601" spans="1:2" x14ac:dyDescent="0.2">
      <c r="A601" s="826"/>
      <c r="B601" s="827"/>
    </row>
    <row r="602" spans="1:2" x14ac:dyDescent="0.2">
      <c r="A602" s="826"/>
      <c r="B602" s="827"/>
    </row>
    <row r="603" spans="1:2" x14ac:dyDescent="0.2">
      <c r="A603" s="826"/>
      <c r="B603" s="827"/>
    </row>
    <row r="604" spans="1:2" x14ac:dyDescent="0.2">
      <c r="A604" s="826"/>
      <c r="B604" s="827"/>
    </row>
    <row r="605" spans="1:2" x14ac:dyDescent="0.2">
      <c r="A605" s="826"/>
      <c r="B605" s="827"/>
    </row>
    <row r="606" spans="1:2" x14ac:dyDescent="0.2">
      <c r="A606" s="826"/>
      <c r="B606" s="827"/>
    </row>
    <row r="607" spans="1:2" x14ac:dyDescent="0.2">
      <c r="A607" s="826"/>
      <c r="B607" s="827"/>
    </row>
    <row r="608" spans="1:2" x14ac:dyDescent="0.2">
      <c r="A608" s="826"/>
      <c r="B608" s="827"/>
    </row>
    <row r="609" spans="1:2" x14ac:dyDescent="0.2">
      <c r="A609" s="826"/>
      <c r="B609" s="827"/>
    </row>
    <row r="610" spans="1:2" x14ac:dyDescent="0.2">
      <c r="A610" s="826"/>
      <c r="B610" s="827"/>
    </row>
    <row r="611" spans="1:2" x14ac:dyDescent="0.2">
      <c r="A611" s="826"/>
      <c r="B611" s="827"/>
    </row>
    <row r="612" spans="1:2" x14ac:dyDescent="0.2">
      <c r="A612" s="826"/>
      <c r="B612" s="827"/>
    </row>
    <row r="613" spans="1:2" x14ac:dyDescent="0.2">
      <c r="A613" s="826"/>
      <c r="B613" s="827"/>
    </row>
    <row r="614" spans="1:2" x14ac:dyDescent="0.2">
      <c r="A614" s="826"/>
      <c r="B614" s="827"/>
    </row>
    <row r="615" spans="1:2" x14ac:dyDescent="0.2">
      <c r="A615" s="826"/>
      <c r="B615" s="827"/>
    </row>
    <row r="616" spans="1:2" x14ac:dyDescent="0.2">
      <c r="A616" s="826"/>
      <c r="B616" s="827"/>
    </row>
    <row r="617" spans="1:2" x14ac:dyDescent="0.2">
      <c r="A617" s="826"/>
      <c r="B617" s="827"/>
    </row>
    <row r="618" spans="1:2" x14ac:dyDescent="0.2">
      <c r="A618" s="826"/>
      <c r="B618" s="827"/>
    </row>
    <row r="619" spans="1:2" x14ac:dyDescent="0.2">
      <c r="A619" s="826"/>
      <c r="B619" s="827"/>
    </row>
    <row r="620" spans="1:2" x14ac:dyDescent="0.2">
      <c r="A620" s="826"/>
      <c r="B620" s="827"/>
    </row>
    <row r="621" spans="1:2" x14ac:dyDescent="0.2">
      <c r="A621" s="826"/>
      <c r="B621" s="827"/>
    </row>
    <row r="622" spans="1:2" x14ac:dyDescent="0.2">
      <c r="A622" s="826"/>
      <c r="B622" s="827"/>
    </row>
    <row r="623" spans="1:2" x14ac:dyDescent="0.2">
      <c r="A623" s="826"/>
      <c r="B623" s="827"/>
    </row>
    <row r="624" spans="1:2" x14ac:dyDescent="0.2">
      <c r="A624" s="826"/>
      <c r="B624" s="827"/>
    </row>
    <row r="625" spans="1:2" x14ac:dyDescent="0.2">
      <c r="A625" s="826"/>
      <c r="B625" s="827"/>
    </row>
    <row r="626" spans="1:2" x14ac:dyDescent="0.2">
      <c r="A626" s="826"/>
      <c r="B626" s="827"/>
    </row>
    <row r="627" spans="1:2" x14ac:dyDescent="0.2">
      <c r="A627" s="826"/>
      <c r="B627" s="827"/>
    </row>
    <row r="628" spans="1:2" x14ac:dyDescent="0.2">
      <c r="A628" s="826"/>
      <c r="B628" s="827"/>
    </row>
    <row r="629" spans="1:2" x14ac:dyDescent="0.2">
      <c r="A629" s="826"/>
      <c r="B629" s="827"/>
    </row>
    <row r="630" spans="1:2" x14ac:dyDescent="0.2">
      <c r="A630" s="826"/>
      <c r="B630" s="827"/>
    </row>
    <row r="631" spans="1:2" x14ac:dyDescent="0.2">
      <c r="A631" s="826"/>
      <c r="B631" s="827"/>
    </row>
    <row r="632" spans="1:2" x14ac:dyDescent="0.2">
      <c r="A632" s="826"/>
      <c r="B632" s="827"/>
    </row>
    <row r="633" spans="1:2" x14ac:dyDescent="0.2">
      <c r="A633" s="826"/>
      <c r="B633" s="827"/>
    </row>
    <row r="634" spans="1:2" x14ac:dyDescent="0.2">
      <c r="A634" s="826"/>
      <c r="B634" s="827"/>
    </row>
    <row r="635" spans="1:2" x14ac:dyDescent="0.2">
      <c r="A635" s="826"/>
      <c r="B635" s="827"/>
    </row>
    <row r="636" spans="1:2" x14ac:dyDescent="0.2">
      <c r="A636" s="826"/>
      <c r="B636" s="827"/>
    </row>
    <row r="637" spans="1:2" x14ac:dyDescent="0.2">
      <c r="A637" s="826"/>
      <c r="B637" s="827"/>
    </row>
    <row r="638" spans="1:2" x14ac:dyDescent="0.2">
      <c r="A638" s="826"/>
      <c r="B638" s="827"/>
    </row>
    <row r="639" spans="1:2" x14ac:dyDescent="0.2">
      <c r="A639" s="826"/>
      <c r="B639" s="827"/>
    </row>
    <row r="640" spans="1:2" x14ac:dyDescent="0.2">
      <c r="A640" s="826"/>
      <c r="B640" s="827"/>
    </row>
    <row r="641" spans="1:2" x14ac:dyDescent="0.2">
      <c r="A641" s="826"/>
      <c r="B641" s="827"/>
    </row>
    <row r="642" spans="1:2" x14ac:dyDescent="0.2">
      <c r="A642" s="826"/>
      <c r="B642" s="827"/>
    </row>
    <row r="643" spans="1:2" x14ac:dyDescent="0.2">
      <c r="A643" s="826"/>
      <c r="B643" s="827"/>
    </row>
    <row r="644" spans="1:2" x14ac:dyDescent="0.2">
      <c r="A644" s="826"/>
      <c r="B644" s="827"/>
    </row>
    <row r="645" spans="1:2" x14ac:dyDescent="0.2">
      <c r="A645" s="826"/>
      <c r="B645" s="827"/>
    </row>
    <row r="646" spans="1:2" x14ac:dyDescent="0.2">
      <c r="A646" s="826"/>
      <c r="B646" s="827"/>
    </row>
    <row r="647" spans="1:2" x14ac:dyDescent="0.2">
      <c r="A647" s="826"/>
      <c r="B647" s="827"/>
    </row>
    <row r="648" spans="1:2" x14ac:dyDescent="0.2">
      <c r="A648" s="826"/>
      <c r="B648" s="827"/>
    </row>
    <row r="649" spans="1:2" x14ac:dyDescent="0.2">
      <c r="A649" s="826"/>
      <c r="B649" s="827"/>
    </row>
    <row r="650" spans="1:2" x14ac:dyDescent="0.2">
      <c r="A650" s="826"/>
      <c r="B650" s="827"/>
    </row>
    <row r="651" spans="1:2" x14ac:dyDescent="0.2">
      <c r="A651" s="826"/>
      <c r="B651" s="827"/>
    </row>
    <row r="652" spans="1:2" x14ac:dyDescent="0.2">
      <c r="A652" s="826"/>
      <c r="B652" s="827"/>
    </row>
    <row r="653" spans="1:2" x14ac:dyDescent="0.2">
      <c r="A653" s="826"/>
      <c r="B653" s="827"/>
    </row>
    <row r="654" spans="1:2" x14ac:dyDescent="0.2">
      <c r="A654" s="826"/>
      <c r="B654" s="827"/>
    </row>
    <row r="655" spans="1:2" x14ac:dyDescent="0.2">
      <c r="A655" s="826"/>
      <c r="B655" s="827"/>
    </row>
    <row r="656" spans="1:2" x14ac:dyDescent="0.2">
      <c r="A656" s="826"/>
      <c r="B656" s="827"/>
    </row>
    <row r="657" spans="1:2" x14ac:dyDescent="0.2">
      <c r="A657" s="826"/>
      <c r="B657" s="827"/>
    </row>
    <row r="658" spans="1:2" x14ac:dyDescent="0.2">
      <c r="A658" s="826"/>
      <c r="B658" s="827"/>
    </row>
    <row r="659" spans="1:2" x14ac:dyDescent="0.2">
      <c r="A659" s="826"/>
      <c r="B659" s="827"/>
    </row>
    <row r="660" spans="1:2" x14ac:dyDescent="0.2">
      <c r="A660" s="826"/>
      <c r="B660" s="827"/>
    </row>
    <row r="661" spans="1:2" x14ac:dyDescent="0.2">
      <c r="A661" s="826"/>
      <c r="B661" s="827"/>
    </row>
    <row r="662" spans="1:2" x14ac:dyDescent="0.2">
      <c r="A662" s="826"/>
      <c r="B662" s="827"/>
    </row>
    <row r="663" spans="1:2" x14ac:dyDescent="0.2">
      <c r="A663" s="826"/>
      <c r="B663" s="827"/>
    </row>
    <row r="664" spans="1:2" x14ac:dyDescent="0.2">
      <c r="A664" s="826"/>
      <c r="B664" s="827"/>
    </row>
    <row r="665" spans="1:2" x14ac:dyDescent="0.2">
      <c r="A665" s="826"/>
      <c r="B665" s="827"/>
    </row>
    <row r="666" spans="1:2" x14ac:dyDescent="0.2">
      <c r="A666" s="826"/>
      <c r="B666" s="827"/>
    </row>
    <row r="667" spans="1:2" x14ac:dyDescent="0.2">
      <c r="A667" s="826"/>
      <c r="B667" s="827"/>
    </row>
    <row r="668" spans="1:2" x14ac:dyDescent="0.2">
      <c r="A668" s="826"/>
      <c r="B668" s="827"/>
    </row>
    <row r="669" spans="1:2" x14ac:dyDescent="0.2">
      <c r="A669" s="826"/>
      <c r="B669" s="827"/>
    </row>
    <row r="670" spans="1:2" x14ac:dyDescent="0.2">
      <c r="A670" s="826"/>
      <c r="B670" s="827"/>
    </row>
    <row r="671" spans="1:2" x14ac:dyDescent="0.2">
      <c r="A671" s="826"/>
      <c r="B671" s="827"/>
    </row>
    <row r="672" spans="1:2" x14ac:dyDescent="0.2">
      <c r="A672" s="826"/>
      <c r="B672" s="827"/>
    </row>
    <row r="673" spans="1:2" x14ac:dyDescent="0.2">
      <c r="A673" s="826"/>
      <c r="B673" s="827"/>
    </row>
    <row r="674" spans="1:2" x14ac:dyDescent="0.2">
      <c r="A674" s="826"/>
      <c r="B674" s="827"/>
    </row>
    <row r="675" spans="1:2" x14ac:dyDescent="0.2">
      <c r="A675" s="826"/>
      <c r="B675" s="827"/>
    </row>
    <row r="676" spans="1:2" x14ac:dyDescent="0.2">
      <c r="A676" s="826"/>
      <c r="B676" s="827"/>
    </row>
    <row r="677" spans="1:2" x14ac:dyDescent="0.2">
      <c r="A677" s="826"/>
      <c r="B677" s="827"/>
    </row>
    <row r="678" spans="1:2" x14ac:dyDescent="0.2">
      <c r="A678" s="826"/>
      <c r="B678" s="827"/>
    </row>
    <row r="679" spans="1:2" x14ac:dyDescent="0.2">
      <c r="A679" s="826"/>
      <c r="B679" s="827"/>
    </row>
    <row r="680" spans="1:2" x14ac:dyDescent="0.2">
      <c r="A680" s="826"/>
      <c r="B680" s="827"/>
    </row>
    <row r="681" spans="1:2" x14ac:dyDescent="0.2">
      <c r="A681" s="826"/>
      <c r="B681" s="827"/>
    </row>
    <row r="682" spans="1:2" x14ac:dyDescent="0.2">
      <c r="A682" s="826"/>
      <c r="B682" s="827"/>
    </row>
    <row r="683" spans="1:2" x14ac:dyDescent="0.2">
      <c r="A683" s="826"/>
      <c r="B683" s="827"/>
    </row>
    <row r="684" spans="1:2" x14ac:dyDescent="0.2">
      <c r="A684" s="826"/>
      <c r="B684" s="827"/>
    </row>
    <row r="685" spans="1:2" x14ac:dyDescent="0.2">
      <c r="A685" s="826"/>
      <c r="B685" s="827"/>
    </row>
    <row r="686" spans="1:2" x14ac:dyDescent="0.2">
      <c r="A686" s="826"/>
      <c r="B686" s="827"/>
    </row>
    <row r="687" spans="1:2" x14ac:dyDescent="0.2">
      <c r="A687" s="826"/>
      <c r="B687" s="827"/>
    </row>
    <row r="688" spans="1:2" x14ac:dyDescent="0.2">
      <c r="A688" s="826"/>
      <c r="B688" s="827"/>
    </row>
    <row r="689" spans="1:2" x14ac:dyDescent="0.2">
      <c r="A689" s="826"/>
      <c r="B689" s="827"/>
    </row>
    <row r="690" spans="1:2" x14ac:dyDescent="0.2">
      <c r="A690" s="826"/>
      <c r="B690" s="827"/>
    </row>
    <row r="691" spans="1:2" x14ac:dyDescent="0.2">
      <c r="A691" s="826"/>
      <c r="B691" s="827"/>
    </row>
    <row r="692" spans="1:2" x14ac:dyDescent="0.2">
      <c r="A692" s="826"/>
      <c r="B692" s="827"/>
    </row>
    <row r="693" spans="1:2" x14ac:dyDescent="0.2">
      <c r="A693" s="826"/>
      <c r="B693" s="827"/>
    </row>
    <row r="694" spans="1:2" x14ac:dyDescent="0.2">
      <c r="A694" s="826"/>
      <c r="B694" s="827"/>
    </row>
    <row r="695" spans="1:2" x14ac:dyDescent="0.2">
      <c r="A695" s="826"/>
      <c r="B695" s="827"/>
    </row>
    <row r="696" spans="1:2" x14ac:dyDescent="0.2">
      <c r="A696" s="826"/>
      <c r="B696" s="827"/>
    </row>
    <row r="697" spans="1:2" x14ac:dyDescent="0.2">
      <c r="A697" s="826"/>
      <c r="B697" s="827"/>
    </row>
    <row r="698" spans="1:2" x14ac:dyDescent="0.2">
      <c r="A698" s="826"/>
      <c r="B698" s="827"/>
    </row>
    <row r="699" spans="1:2" x14ac:dyDescent="0.2">
      <c r="A699" s="826"/>
      <c r="B699" s="827"/>
    </row>
    <row r="700" spans="1:2" x14ac:dyDescent="0.2">
      <c r="A700" s="826"/>
      <c r="B700" s="827"/>
    </row>
    <row r="701" spans="1:2" x14ac:dyDescent="0.2">
      <c r="A701" s="826"/>
      <c r="B701" s="827"/>
    </row>
    <row r="702" spans="1:2" x14ac:dyDescent="0.2">
      <c r="A702" s="826"/>
      <c r="B702" s="827"/>
    </row>
    <row r="703" spans="1:2" x14ac:dyDescent="0.2">
      <c r="A703" s="826"/>
      <c r="B703" s="827"/>
    </row>
    <row r="704" spans="1:2" x14ac:dyDescent="0.2">
      <c r="A704" s="826"/>
      <c r="B704" s="827"/>
    </row>
    <row r="705" spans="1:2" x14ac:dyDescent="0.2">
      <c r="A705" s="826"/>
      <c r="B705" s="827"/>
    </row>
    <row r="706" spans="1:2" x14ac:dyDescent="0.2">
      <c r="A706" s="826"/>
      <c r="B706" s="827"/>
    </row>
    <row r="707" spans="1:2" x14ac:dyDescent="0.2">
      <c r="A707" s="826"/>
      <c r="B707" s="827"/>
    </row>
    <row r="708" spans="1:2" x14ac:dyDescent="0.2">
      <c r="A708" s="826"/>
      <c r="B708" s="827"/>
    </row>
    <row r="709" spans="1:2" x14ac:dyDescent="0.2">
      <c r="A709" s="826"/>
      <c r="B709" s="827"/>
    </row>
    <row r="710" spans="1:2" x14ac:dyDescent="0.2">
      <c r="A710" s="826"/>
      <c r="B710" s="827"/>
    </row>
    <row r="711" spans="1:2" x14ac:dyDescent="0.2">
      <c r="A711" s="826"/>
      <c r="B711" s="827"/>
    </row>
    <row r="712" spans="1:2" x14ac:dyDescent="0.2">
      <c r="A712" s="826"/>
      <c r="B712" s="827"/>
    </row>
    <row r="713" spans="1:2" x14ac:dyDescent="0.2">
      <c r="A713" s="826"/>
      <c r="B713" s="827"/>
    </row>
    <row r="714" spans="1:2" x14ac:dyDescent="0.2">
      <c r="A714" s="826"/>
      <c r="B714" s="827"/>
    </row>
    <row r="715" spans="1:2" x14ac:dyDescent="0.2">
      <c r="A715" s="826"/>
      <c r="B715" s="827"/>
    </row>
    <row r="716" spans="1:2" x14ac:dyDescent="0.2">
      <c r="A716" s="826"/>
      <c r="B716" s="827"/>
    </row>
    <row r="717" spans="1:2" x14ac:dyDescent="0.2">
      <c r="A717" s="826"/>
      <c r="B717" s="827"/>
    </row>
    <row r="718" spans="1:2" x14ac:dyDescent="0.2">
      <c r="A718" s="826"/>
      <c r="B718" s="827"/>
    </row>
    <row r="719" spans="1:2" x14ac:dyDescent="0.2">
      <c r="A719" s="826"/>
      <c r="B719" s="827"/>
    </row>
    <row r="720" spans="1:2" x14ac:dyDescent="0.2">
      <c r="A720" s="826"/>
      <c r="B720" s="827"/>
    </row>
    <row r="721" spans="1:2" x14ac:dyDescent="0.2">
      <c r="A721" s="826"/>
      <c r="B721" s="827"/>
    </row>
    <row r="722" spans="1:2" x14ac:dyDescent="0.2">
      <c r="A722" s="826"/>
      <c r="B722" s="827"/>
    </row>
    <row r="723" spans="1:2" x14ac:dyDescent="0.2">
      <c r="A723" s="826"/>
      <c r="B723" s="827"/>
    </row>
    <row r="724" spans="1:2" x14ac:dyDescent="0.2">
      <c r="A724" s="826"/>
      <c r="B724" s="827"/>
    </row>
    <row r="725" spans="1:2" x14ac:dyDescent="0.2">
      <c r="A725" s="826"/>
      <c r="B725" s="827"/>
    </row>
    <row r="726" spans="1:2" x14ac:dyDescent="0.2">
      <c r="A726" s="826"/>
      <c r="B726" s="827"/>
    </row>
    <row r="727" spans="1:2" x14ac:dyDescent="0.2">
      <c r="A727" s="826"/>
      <c r="B727" s="827"/>
    </row>
    <row r="728" spans="1:2" x14ac:dyDescent="0.2">
      <c r="A728" s="826"/>
      <c r="B728" s="827"/>
    </row>
    <row r="729" spans="1:2" x14ac:dyDescent="0.2">
      <c r="A729" s="826"/>
      <c r="B729" s="827"/>
    </row>
    <row r="730" spans="1:2" x14ac:dyDescent="0.2">
      <c r="A730" s="826"/>
      <c r="B730" s="827"/>
    </row>
    <row r="731" spans="1:2" x14ac:dyDescent="0.2">
      <c r="A731" s="826"/>
      <c r="B731" s="827"/>
    </row>
    <row r="732" spans="1:2" x14ac:dyDescent="0.2">
      <c r="A732" s="826"/>
      <c r="B732" s="827"/>
    </row>
    <row r="733" spans="1:2" x14ac:dyDescent="0.2">
      <c r="A733" s="826"/>
      <c r="B733" s="827"/>
    </row>
    <row r="734" spans="1:2" x14ac:dyDescent="0.2">
      <c r="A734" s="826"/>
      <c r="B734" s="827"/>
    </row>
    <row r="735" spans="1:2" x14ac:dyDescent="0.2">
      <c r="A735" s="826"/>
      <c r="B735" s="827"/>
    </row>
    <row r="736" spans="1:2" x14ac:dyDescent="0.2">
      <c r="A736" s="826"/>
      <c r="B736" s="827"/>
    </row>
    <row r="737" spans="1:2" x14ac:dyDescent="0.2">
      <c r="A737" s="826"/>
      <c r="B737" s="827"/>
    </row>
    <row r="738" spans="1:2" x14ac:dyDescent="0.2">
      <c r="A738" s="826"/>
      <c r="B738" s="827"/>
    </row>
    <row r="739" spans="1:2" x14ac:dyDescent="0.2">
      <c r="A739" s="826"/>
      <c r="B739" s="827"/>
    </row>
    <row r="740" spans="1:2" x14ac:dyDescent="0.2">
      <c r="A740" s="826"/>
      <c r="B740" s="827"/>
    </row>
    <row r="741" spans="1:2" x14ac:dyDescent="0.2">
      <c r="A741" s="826"/>
      <c r="B741" s="827"/>
    </row>
    <row r="742" spans="1:2" x14ac:dyDescent="0.2">
      <c r="A742" s="826"/>
      <c r="B742" s="827"/>
    </row>
    <row r="743" spans="1:2" x14ac:dyDescent="0.2">
      <c r="A743" s="826"/>
      <c r="B743" s="827"/>
    </row>
    <row r="744" spans="1:2" x14ac:dyDescent="0.2">
      <c r="A744" s="826"/>
      <c r="B744" s="827"/>
    </row>
    <row r="745" spans="1:2" x14ac:dyDescent="0.2">
      <c r="A745" s="826"/>
      <c r="B745" s="827"/>
    </row>
    <row r="746" spans="1:2" x14ac:dyDescent="0.2">
      <c r="A746" s="826"/>
      <c r="B746" s="827"/>
    </row>
    <row r="747" spans="1:2" x14ac:dyDescent="0.2">
      <c r="A747" s="826"/>
      <c r="B747" s="827"/>
    </row>
    <row r="748" spans="1:2" x14ac:dyDescent="0.2">
      <c r="A748" s="826"/>
      <c r="B748" s="827"/>
    </row>
    <row r="749" spans="1:2" x14ac:dyDescent="0.2">
      <c r="A749" s="826"/>
      <c r="B749" s="827"/>
    </row>
    <row r="750" spans="1:2" x14ac:dyDescent="0.2">
      <c r="A750" s="826"/>
      <c r="B750" s="827"/>
    </row>
    <row r="751" spans="1:2" x14ac:dyDescent="0.2">
      <c r="A751" s="826"/>
      <c r="B751" s="827"/>
    </row>
    <row r="752" spans="1:2" x14ac:dyDescent="0.2">
      <c r="A752" s="826"/>
      <c r="B752" s="827"/>
    </row>
    <row r="753" spans="1:2" x14ac:dyDescent="0.2">
      <c r="A753" s="826"/>
      <c r="B753" s="827"/>
    </row>
    <row r="754" spans="1:2" x14ac:dyDescent="0.2">
      <c r="A754" s="826"/>
      <c r="B754" s="827"/>
    </row>
    <row r="755" spans="1:2" x14ac:dyDescent="0.2">
      <c r="A755" s="826"/>
      <c r="B755" s="827"/>
    </row>
    <row r="756" spans="1:2" x14ac:dyDescent="0.2">
      <c r="A756" s="826"/>
      <c r="B756" s="827"/>
    </row>
    <row r="757" spans="1:2" x14ac:dyDescent="0.2">
      <c r="A757" s="826"/>
      <c r="B757" s="827"/>
    </row>
    <row r="758" spans="1:2" x14ac:dyDescent="0.2">
      <c r="A758" s="826"/>
      <c r="B758" s="827"/>
    </row>
    <row r="759" spans="1:2" x14ac:dyDescent="0.2">
      <c r="A759" s="826"/>
      <c r="B759" s="827"/>
    </row>
    <row r="760" spans="1:2" x14ac:dyDescent="0.2">
      <c r="A760" s="826"/>
      <c r="B760" s="827"/>
    </row>
    <row r="761" spans="1:2" x14ac:dyDescent="0.2">
      <c r="A761" s="826"/>
      <c r="B761" s="827"/>
    </row>
    <row r="762" spans="1:2" x14ac:dyDescent="0.2">
      <c r="A762" s="826"/>
      <c r="B762" s="827"/>
    </row>
    <row r="763" spans="1:2" x14ac:dyDescent="0.2">
      <c r="A763" s="826"/>
      <c r="B763" s="827"/>
    </row>
    <row r="764" spans="1:2" x14ac:dyDescent="0.2">
      <c r="A764" s="826"/>
      <c r="B764" s="827"/>
    </row>
    <row r="765" spans="1:2" x14ac:dyDescent="0.2">
      <c r="A765" s="826"/>
      <c r="B765" s="827"/>
    </row>
    <row r="766" spans="1:2" x14ac:dyDescent="0.2">
      <c r="A766" s="826"/>
      <c r="B766" s="827"/>
    </row>
    <row r="767" spans="1:2" x14ac:dyDescent="0.2">
      <c r="A767" s="826"/>
      <c r="B767" s="827"/>
    </row>
    <row r="768" spans="1:2" x14ac:dyDescent="0.2">
      <c r="A768" s="826"/>
      <c r="B768" s="827"/>
    </row>
    <row r="769" spans="1:2" x14ac:dyDescent="0.2">
      <c r="A769" s="826"/>
      <c r="B769" s="827"/>
    </row>
    <row r="770" spans="1:2" x14ac:dyDescent="0.2">
      <c r="A770" s="826"/>
      <c r="B770" s="827"/>
    </row>
    <row r="771" spans="1:2" x14ac:dyDescent="0.2">
      <c r="A771" s="826"/>
      <c r="B771" s="827"/>
    </row>
    <row r="772" spans="1:2" x14ac:dyDescent="0.2">
      <c r="A772" s="826"/>
      <c r="B772" s="827"/>
    </row>
    <row r="773" spans="1:2" x14ac:dyDescent="0.2">
      <c r="A773" s="826"/>
      <c r="B773" s="827"/>
    </row>
    <row r="774" spans="1:2" x14ac:dyDescent="0.2">
      <c r="A774" s="826"/>
      <c r="B774" s="827"/>
    </row>
    <row r="775" spans="1:2" x14ac:dyDescent="0.2">
      <c r="A775" s="826"/>
      <c r="B775" s="827"/>
    </row>
    <row r="776" spans="1:2" x14ac:dyDescent="0.2">
      <c r="A776" s="826"/>
      <c r="B776" s="827"/>
    </row>
    <row r="777" spans="1:2" x14ac:dyDescent="0.2">
      <c r="A777" s="826"/>
      <c r="B777" s="827"/>
    </row>
    <row r="778" spans="1:2" x14ac:dyDescent="0.2">
      <c r="A778" s="826"/>
      <c r="B778" s="827"/>
    </row>
    <row r="779" spans="1:2" x14ac:dyDescent="0.2">
      <c r="A779" s="826"/>
      <c r="B779" s="827"/>
    </row>
    <row r="780" spans="1:2" x14ac:dyDescent="0.2">
      <c r="A780" s="826"/>
      <c r="B780" s="827"/>
    </row>
    <row r="781" spans="1:2" x14ac:dyDescent="0.2">
      <c r="A781" s="826"/>
      <c r="B781" s="827"/>
    </row>
    <row r="782" spans="1:2" x14ac:dyDescent="0.2">
      <c r="A782" s="826"/>
      <c r="B782" s="827"/>
    </row>
    <row r="783" spans="1:2" x14ac:dyDescent="0.2">
      <c r="A783" s="826"/>
      <c r="B783" s="827"/>
    </row>
    <row r="784" spans="1:2" x14ac:dyDescent="0.2">
      <c r="A784" s="826"/>
      <c r="B784" s="827"/>
    </row>
    <row r="785" spans="1:2" x14ac:dyDescent="0.2">
      <c r="A785" s="826"/>
      <c r="B785" s="827"/>
    </row>
    <row r="786" spans="1:2" x14ac:dyDescent="0.2">
      <c r="A786" s="826"/>
      <c r="B786" s="827"/>
    </row>
    <row r="787" spans="1:2" x14ac:dyDescent="0.2">
      <c r="A787" s="826"/>
      <c r="B787" s="827"/>
    </row>
    <row r="788" spans="1:2" x14ac:dyDescent="0.2">
      <c r="A788" s="826"/>
      <c r="B788" s="827"/>
    </row>
    <row r="789" spans="1:2" x14ac:dyDescent="0.2">
      <c r="A789" s="826"/>
      <c r="B789" s="827"/>
    </row>
    <row r="790" spans="1:2" x14ac:dyDescent="0.2">
      <c r="A790" s="826"/>
      <c r="B790" s="827"/>
    </row>
    <row r="791" spans="1:2" x14ac:dyDescent="0.2">
      <c r="A791" s="826"/>
      <c r="B791" s="827"/>
    </row>
    <row r="792" spans="1:2" x14ac:dyDescent="0.2">
      <c r="A792" s="826"/>
      <c r="B792" s="827"/>
    </row>
    <row r="793" spans="1:2" x14ac:dyDescent="0.2">
      <c r="A793" s="826"/>
      <c r="B793" s="827"/>
    </row>
    <row r="794" spans="1:2" x14ac:dyDescent="0.2">
      <c r="A794" s="826"/>
      <c r="B794" s="827"/>
    </row>
    <row r="795" spans="1:2" x14ac:dyDescent="0.2">
      <c r="A795" s="826"/>
      <c r="B795" s="827"/>
    </row>
    <row r="796" spans="1:2" x14ac:dyDescent="0.2">
      <c r="A796" s="826"/>
      <c r="B796" s="827"/>
    </row>
    <row r="797" spans="1:2" x14ac:dyDescent="0.2">
      <c r="A797" s="826"/>
      <c r="B797" s="827"/>
    </row>
    <row r="798" spans="1:2" x14ac:dyDescent="0.2">
      <c r="A798" s="826"/>
      <c r="B798" s="827"/>
    </row>
    <row r="799" spans="1:2" x14ac:dyDescent="0.2">
      <c r="A799" s="826"/>
      <c r="B799" s="827"/>
    </row>
    <row r="800" spans="1:2" x14ac:dyDescent="0.2">
      <c r="A800" s="826"/>
      <c r="B800" s="827"/>
    </row>
    <row r="801" spans="1:2" x14ac:dyDescent="0.2">
      <c r="A801" s="826"/>
      <c r="B801" s="827"/>
    </row>
    <row r="802" spans="1:2" x14ac:dyDescent="0.2">
      <c r="A802" s="826"/>
      <c r="B802" s="827"/>
    </row>
    <row r="803" spans="1:2" x14ac:dyDescent="0.2">
      <c r="A803" s="826"/>
      <c r="B803" s="827"/>
    </row>
    <row r="804" spans="1:2" x14ac:dyDescent="0.2">
      <c r="A804" s="826"/>
      <c r="B804" s="827"/>
    </row>
    <row r="805" spans="1:2" x14ac:dyDescent="0.2">
      <c r="A805" s="826"/>
      <c r="B805" s="827"/>
    </row>
    <row r="806" spans="1:2" x14ac:dyDescent="0.2">
      <c r="A806" s="826"/>
      <c r="B806" s="827"/>
    </row>
  </sheetData>
  <sheetProtection algorithmName="SHA-512" hashValue="uYo+fWu3PlzLUBwmetiNJfa6go+tYK+jaxbD6xqquNgZGLseseI8qfU9l8bkOOY0S7Bo/AMcrq2vdZ0bKPlK2A==" saltValue="T3SB4T+grBAf7+mrPBlZzg==" spinCount="100000" sheet="1" objects="1" scenarios="1"/>
  <mergeCells count="4">
    <mergeCell ref="E3:L3"/>
    <mergeCell ref="E2:L2"/>
    <mergeCell ref="A1:B1"/>
    <mergeCell ref="E1:L1"/>
  </mergeCells>
  <phoneticPr fontId="0" type="noConversion"/>
  <hyperlinks>
    <hyperlink ref="B94" r:id="rId1"/>
  </hyperlinks>
  <pageMargins left="0.74803149606299213" right="0.59055118110236227" top="0.98425196850393704" bottom="0.98425196850393704" header="0.19685039370078741" footer="0.19685039370078741"/>
  <pageSetup paperSize="9" fitToHeight="0" orientation="portrait" blackAndWhite="1" r:id="rId2"/>
  <headerFooter alignWithMargins="0">
    <oddHeader>&amp;R&amp;F</oddHeader>
    <oddFooter>&amp;LFormat Prepared by the Schools Finance Team&amp;C&amp;P&amp;RPrinted &amp;T &amp;D</oddFooter>
  </headerFooter>
  <rowBreaks count="4" manualBreakCount="4">
    <brk id="21" max="1" man="1"/>
    <brk id="54" max="1" man="1"/>
    <brk id="78" max="1" man="1"/>
    <brk id="90" max="1" man="1"/>
  </rowBreaks>
  <drawing r:id="rId3"/>
  <legacyDrawing r:id="rId4"/>
  <mc:AlternateContent xmlns:mc="http://schemas.openxmlformats.org/markup-compatibility/2006">
    <mc:Choice Requires="x14">
      <controls>
        <mc:AlternateContent xmlns:mc="http://schemas.openxmlformats.org/markup-compatibility/2006">
          <mc:Choice Requires="x14">
            <control shapeId="7181" r:id="rId5" name="Button 13">
              <controlPr defaultSize="0" print="0" autoFill="0" autoPict="0">
                <anchor moveWithCells="1" sizeWithCells="1">
                  <from>
                    <xdr:col>1</xdr:col>
                    <xdr:colOff>0</xdr:colOff>
                    <xdr:row>0</xdr:row>
                    <xdr:rowOff>0</xdr:rowOff>
                  </from>
                  <to>
                    <xdr:col>1</xdr:col>
                    <xdr:colOff>0</xdr:colOff>
                    <xdr:row>0</xdr:row>
                    <xdr:rowOff>0</xdr:rowOff>
                  </to>
                </anchor>
              </controlPr>
            </control>
          </mc:Choice>
        </mc:AlternateContent>
        <mc:AlternateContent xmlns:mc="http://schemas.openxmlformats.org/markup-compatibility/2006">
          <mc:Choice Requires="x14">
            <control shapeId="7182" r:id="rId6" name="Button 14">
              <controlPr defaultSize="0" print="0" autoFill="0" autoPict="0">
                <anchor moveWithCells="1" sizeWithCells="1">
                  <from>
                    <xdr:col>1</xdr:col>
                    <xdr:colOff>0</xdr:colOff>
                    <xdr:row>0</xdr:row>
                    <xdr:rowOff>0</xdr:rowOff>
                  </from>
                  <to>
                    <xdr:col>1</xdr:col>
                    <xdr:colOff>0</xdr:colOff>
                    <xdr:row>0</xdr:row>
                    <xdr:rowOff>0</xdr:rowOff>
                  </to>
                </anchor>
              </controlPr>
            </control>
          </mc:Choice>
        </mc:AlternateContent>
        <mc:AlternateContent xmlns:mc="http://schemas.openxmlformats.org/markup-compatibility/2006">
          <mc:Choice Requires="x14">
            <control shapeId="7183" r:id="rId7" name="Button 15">
              <controlPr defaultSize="0" print="0" autoFill="0" autoPict="0">
                <anchor moveWithCells="1" sizeWithCells="1">
                  <from>
                    <xdr:col>1</xdr:col>
                    <xdr:colOff>0</xdr:colOff>
                    <xdr:row>0</xdr:row>
                    <xdr:rowOff>0</xdr:rowOff>
                  </from>
                  <to>
                    <xdr:col>1</xdr:col>
                    <xdr:colOff>0</xdr:colOff>
                    <xdr:row>0</xdr:row>
                    <xdr:rowOff>0</xdr:rowOff>
                  </to>
                </anchor>
              </controlPr>
            </control>
          </mc:Choice>
        </mc:AlternateContent>
        <mc:AlternateContent xmlns:mc="http://schemas.openxmlformats.org/markup-compatibility/2006">
          <mc:Choice Requires="x14">
            <control shapeId="7184" r:id="rId8" name="Button 16">
              <controlPr defaultSize="0" print="0" autoFill="0" autoPict="0">
                <anchor moveWithCells="1" sizeWithCells="1">
                  <from>
                    <xdr:col>1</xdr:col>
                    <xdr:colOff>0</xdr:colOff>
                    <xdr:row>0</xdr:row>
                    <xdr:rowOff>0</xdr:rowOff>
                  </from>
                  <to>
                    <xdr:col>1</xdr:col>
                    <xdr:colOff>0</xdr:colOff>
                    <xdr:row>0</xdr:row>
                    <xdr:rowOff>0</xdr:rowOff>
                  </to>
                </anchor>
              </controlPr>
            </control>
          </mc:Choice>
        </mc:AlternateContent>
        <mc:AlternateContent xmlns:mc="http://schemas.openxmlformats.org/markup-compatibility/2006">
          <mc:Choice Requires="x14">
            <control shapeId="7185" r:id="rId9" name="Button 17">
              <controlPr defaultSize="0" print="0" autoFill="0" autoPict="0">
                <anchor moveWithCells="1" sizeWithCells="1">
                  <from>
                    <xdr:col>1</xdr:col>
                    <xdr:colOff>0</xdr:colOff>
                    <xdr:row>0</xdr:row>
                    <xdr:rowOff>0</xdr:rowOff>
                  </from>
                  <to>
                    <xdr:col>1</xdr:col>
                    <xdr:colOff>0</xdr:colOff>
                    <xdr:row>0</xdr:row>
                    <xdr:rowOff>0</xdr:rowOff>
                  </to>
                </anchor>
              </controlPr>
            </control>
          </mc:Choice>
        </mc:AlternateContent>
        <mc:AlternateContent xmlns:mc="http://schemas.openxmlformats.org/markup-compatibility/2006">
          <mc:Choice Requires="x14">
            <control shapeId="7187" r:id="rId10" name="Button 19">
              <controlPr defaultSize="0" print="0" autoFill="0" autoPict="0">
                <anchor moveWithCells="1" sizeWithCells="1">
                  <from>
                    <xdr:col>5</xdr:col>
                    <xdr:colOff>238125</xdr:colOff>
                    <xdr:row>0</xdr:row>
                    <xdr:rowOff>0</xdr:rowOff>
                  </from>
                  <to>
                    <xdr:col>9</xdr:col>
                    <xdr:colOff>228600</xdr:colOff>
                    <xdr:row>0</xdr:row>
                    <xdr:rowOff>0</xdr:rowOff>
                  </to>
                </anchor>
              </controlPr>
            </control>
          </mc:Choice>
        </mc:AlternateContent>
        <mc:AlternateContent xmlns:mc="http://schemas.openxmlformats.org/markup-compatibility/2006">
          <mc:Choice Requires="x14">
            <control shapeId="7188" r:id="rId11" name="Button 20">
              <controlPr defaultSize="0" print="0" autoFill="0" autoPict="0">
                <anchor moveWithCells="1" sizeWithCells="1">
                  <from>
                    <xdr:col>9</xdr:col>
                    <xdr:colOff>257175</xdr:colOff>
                    <xdr:row>0</xdr:row>
                    <xdr:rowOff>0</xdr:rowOff>
                  </from>
                  <to>
                    <xdr:col>10</xdr:col>
                    <xdr:colOff>0</xdr:colOff>
                    <xdr:row>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2"/>
  </sheetPr>
  <dimension ref="A1:AG2864"/>
  <sheetViews>
    <sheetView zoomScaleNormal="100" workbookViewId="0">
      <pane ySplit="2" topLeftCell="A84" activePane="bottomLeft" state="frozen"/>
      <selection activeCell="F27" sqref="F27"/>
      <selection pane="bottomLeft" activeCell="E159" sqref="E159"/>
    </sheetView>
  </sheetViews>
  <sheetFormatPr defaultColWidth="9.140625" defaultRowHeight="12.75" x14ac:dyDescent="0.2"/>
  <cols>
    <col min="1" max="1" width="35.28515625" style="46" customWidth="1"/>
    <col min="2" max="2" width="9.140625" style="46"/>
    <col min="3" max="3" width="1.7109375" style="46" customWidth="1"/>
    <col min="4" max="4" width="35.28515625" style="46" customWidth="1"/>
    <col min="5" max="5" width="10.5703125" style="46" customWidth="1"/>
    <col min="6" max="6" width="42" style="984" customWidth="1"/>
    <col min="7" max="7" width="9.140625" style="46"/>
    <col min="8" max="8" width="13.28515625" style="46" customWidth="1"/>
    <col min="9" max="9" width="8.42578125" style="988" hidden="1" customWidth="1"/>
    <col min="10" max="10" width="9.140625" style="46"/>
    <col min="11" max="11" width="5.42578125" style="46" customWidth="1"/>
    <col min="12" max="32" width="9.140625" style="46"/>
    <col min="33" max="16384" width="9.140625" style="57"/>
  </cols>
  <sheetData>
    <row r="1" spans="1:32" ht="25.5" customHeight="1" x14ac:dyDescent="0.2">
      <c r="A1" s="1032" t="str">
        <f>IF(Income!A1="School Name (Please enter your school's cost centre in cell E1 &amp; check that the correct school name appears here)","(Please enter your school's cost code on the Income sheet)",Income!A1:C1)</f>
        <v>Matching Green CE P</v>
      </c>
      <c r="B1" s="1033"/>
      <c r="C1" s="1033"/>
      <c r="D1" s="1034"/>
      <c r="E1" s="183" t="s">
        <v>253</v>
      </c>
      <c r="F1" s="977" t="str">
        <f>IF(OR(A1="(Please enter your school's cost code on the Income sheet)",A1="",E2="(please enter)",E2=""),"Please enter your school's cost code on the Income sheet","")</f>
        <v/>
      </c>
      <c r="G1" s="414"/>
      <c r="H1" s="414"/>
      <c r="I1" s="986">
        <f>IF(F1="",0,1)</f>
        <v>0</v>
      </c>
      <c r="J1" s="414"/>
      <c r="K1" s="414"/>
      <c r="L1" s="412"/>
      <c r="M1" s="412"/>
      <c r="N1" s="412"/>
      <c r="O1" s="412"/>
      <c r="P1" s="412"/>
      <c r="Q1" s="412"/>
      <c r="R1" s="412"/>
      <c r="S1" s="412"/>
      <c r="T1" s="412"/>
      <c r="U1" s="412"/>
      <c r="V1" s="412"/>
      <c r="W1" s="412"/>
      <c r="X1" s="412"/>
      <c r="Y1" s="57"/>
      <c r="Z1" s="57"/>
      <c r="AA1" s="57"/>
      <c r="AB1" s="57"/>
      <c r="AC1" s="57"/>
      <c r="AD1" s="57"/>
      <c r="AE1" s="57"/>
      <c r="AF1" s="57"/>
    </row>
    <row r="2" spans="1:32" ht="24.75" customHeight="1" thickBot="1" x14ac:dyDescent="0.25">
      <c r="A2" s="1063" t="str">
        <f>'Fin.Yr Lookups'!A5&amp;" Budget Plan: Summary"</f>
        <v>2020-21 Budget Plan: Summary</v>
      </c>
      <c r="B2" s="1064"/>
      <c r="C2" s="1064"/>
      <c r="D2" s="1064"/>
      <c r="E2" s="185">
        <f>Income!E1</f>
        <v>3370</v>
      </c>
      <c r="F2" s="977"/>
      <c r="G2" s="414"/>
      <c r="H2" s="414"/>
      <c r="I2" s="986"/>
      <c r="J2" s="414"/>
      <c r="K2" s="414"/>
      <c r="L2" s="412"/>
      <c r="M2" s="412"/>
      <c r="N2" s="412"/>
      <c r="O2" s="412"/>
      <c r="P2" s="412"/>
      <c r="Q2" s="412"/>
      <c r="R2" s="412"/>
      <c r="S2" s="412"/>
      <c r="T2" s="412"/>
      <c r="U2" s="412"/>
      <c r="V2" s="412"/>
      <c r="W2" s="412"/>
      <c r="X2" s="412"/>
      <c r="Y2" s="57"/>
      <c r="Z2" s="57"/>
      <c r="AA2" s="57"/>
      <c r="AB2" s="57"/>
      <c r="AC2" s="57"/>
      <c r="AD2" s="57"/>
      <c r="AE2" s="57"/>
      <c r="AF2" s="57"/>
    </row>
    <row r="3" spans="1:32" ht="12" customHeight="1" x14ac:dyDescent="0.2">
      <c r="A3" s="200"/>
      <c r="B3" s="186"/>
      <c r="C3" s="187"/>
      <c r="D3" s="186"/>
      <c r="E3" s="201"/>
      <c r="F3" s="979"/>
      <c r="I3" s="987"/>
      <c r="L3" s="412"/>
      <c r="M3" s="412"/>
      <c r="N3" s="412"/>
      <c r="O3" s="412"/>
      <c r="P3" s="412"/>
      <c r="Q3" s="412"/>
      <c r="R3" s="412"/>
      <c r="S3" s="412"/>
      <c r="T3" s="412"/>
      <c r="U3" s="412"/>
      <c r="V3" s="412"/>
      <c r="W3" s="412"/>
      <c r="X3" s="412"/>
      <c r="Y3" s="57"/>
      <c r="Z3" s="57"/>
      <c r="AA3" s="57"/>
      <c r="AB3" s="57"/>
      <c r="AC3" s="57"/>
      <c r="AD3" s="57"/>
      <c r="AE3" s="57"/>
      <c r="AF3" s="57"/>
    </row>
    <row r="4" spans="1:32" ht="15" customHeight="1" x14ac:dyDescent="0.2">
      <c r="A4" s="618" t="s">
        <v>683</v>
      </c>
      <c r="B4" s="771"/>
      <c r="C4" s="771"/>
      <c r="D4" s="772" t="s">
        <v>531</v>
      </c>
      <c r="E4" s="745" t="s">
        <v>531</v>
      </c>
      <c r="F4" s="980"/>
      <c r="G4" s="412"/>
      <c r="H4" s="412"/>
      <c r="J4" s="412"/>
      <c r="K4" s="412"/>
      <c r="L4" s="412"/>
      <c r="M4" s="412"/>
      <c r="N4" s="412"/>
      <c r="O4" s="412"/>
      <c r="P4" s="412"/>
      <c r="Q4" s="412"/>
      <c r="R4" s="412"/>
      <c r="S4" s="412"/>
      <c r="T4" s="412"/>
      <c r="U4" s="412"/>
      <c r="V4" s="412"/>
      <c r="W4" s="412"/>
      <c r="X4" s="412"/>
      <c r="Y4" s="57"/>
      <c r="Z4" s="57"/>
      <c r="AA4" s="57"/>
      <c r="AB4" s="57"/>
      <c r="AC4" s="57"/>
      <c r="AD4" s="57"/>
      <c r="AE4" s="57"/>
      <c r="AF4" s="57"/>
    </row>
    <row r="5" spans="1:32" ht="15" customHeight="1" x14ac:dyDescent="0.2">
      <c r="A5" s="621" t="str">
        <f>Income!A19</f>
        <v>Section 251 Schools Block (excluding PFI)</v>
      </c>
      <c r="B5" s="736"/>
      <c r="C5" s="736"/>
      <c r="D5" s="773">
        <f>Income!D19</f>
        <v>407934</v>
      </c>
      <c r="E5" s="743"/>
      <c r="F5" s="980"/>
      <c r="G5" s="412"/>
      <c r="H5" s="412"/>
      <c r="J5" s="412"/>
      <c r="K5" s="412"/>
      <c r="L5" s="412"/>
      <c r="M5" s="412"/>
      <c r="N5" s="412"/>
      <c r="O5" s="412"/>
      <c r="P5" s="412"/>
      <c r="Q5" s="412"/>
      <c r="R5" s="412"/>
      <c r="S5" s="412"/>
      <c r="T5" s="412"/>
      <c r="U5" s="412"/>
      <c r="V5" s="412"/>
      <c r="W5" s="412"/>
      <c r="X5" s="412"/>
      <c r="Y5" s="57"/>
      <c r="Z5" s="57"/>
      <c r="AA5" s="57"/>
      <c r="AB5" s="57"/>
      <c r="AC5" s="57"/>
      <c r="AD5" s="57"/>
      <c r="AE5" s="57"/>
      <c r="AF5" s="57"/>
    </row>
    <row r="6" spans="1:32" ht="15" customHeight="1" x14ac:dyDescent="0.2">
      <c r="A6" s="621" t="str">
        <f>Income!A20</f>
        <v>Section 251: De-delegated funding (excl. ESG)</v>
      </c>
      <c r="B6" s="728"/>
      <c r="C6" s="736"/>
      <c r="D6" s="773">
        <f>Income!D20</f>
        <v>198</v>
      </c>
      <c r="E6" s="743"/>
      <c r="F6" s="979"/>
      <c r="I6" s="987"/>
      <c r="L6" s="412"/>
      <c r="M6" s="412"/>
      <c r="N6" s="412"/>
      <c r="O6" s="412"/>
      <c r="P6" s="412"/>
      <c r="Q6" s="412"/>
      <c r="R6" s="412"/>
      <c r="S6" s="412"/>
      <c r="T6" s="412"/>
      <c r="U6" s="412"/>
      <c r="V6" s="412"/>
      <c r="W6" s="412"/>
      <c r="X6" s="412"/>
      <c r="Y6" s="57"/>
      <c r="Z6" s="57"/>
      <c r="AA6" s="57"/>
      <c r="AB6" s="57"/>
      <c r="AC6" s="57"/>
      <c r="AD6" s="57"/>
      <c r="AE6" s="57"/>
      <c r="AF6" s="57"/>
    </row>
    <row r="7" spans="1:32" ht="15" customHeight="1" x14ac:dyDescent="0.2">
      <c r="A7" s="621" t="str">
        <f>Income!A21</f>
        <v>Section 251 Schools Block - PFI Funding</v>
      </c>
      <c r="B7" s="736"/>
      <c r="C7" s="728"/>
      <c r="D7" s="773">
        <f>Income!D21</f>
        <v>0</v>
      </c>
      <c r="E7" s="743"/>
      <c r="F7" s="980"/>
      <c r="L7" s="412"/>
      <c r="M7" s="412"/>
      <c r="N7" s="412"/>
      <c r="O7" s="412"/>
      <c r="P7" s="412"/>
      <c r="Q7" s="412"/>
      <c r="R7" s="412"/>
      <c r="S7" s="412"/>
      <c r="T7" s="412"/>
      <c r="U7" s="412"/>
      <c r="V7" s="412"/>
      <c r="W7" s="412"/>
      <c r="X7" s="412"/>
      <c r="Y7" s="57"/>
      <c r="Z7" s="57"/>
      <c r="AA7" s="57"/>
      <c r="AB7" s="57"/>
      <c r="AC7" s="57"/>
      <c r="AD7" s="57"/>
      <c r="AE7" s="57"/>
      <c r="AF7" s="57"/>
    </row>
    <row r="8" spans="1:32" ht="15" customHeight="1" x14ac:dyDescent="0.2">
      <c r="A8" s="621" t="str">
        <f>Income!A22</f>
        <v>High Needs: SEND &amp; EHCP Funding</v>
      </c>
      <c r="B8" s="728"/>
      <c r="C8" s="728"/>
      <c r="D8" s="773">
        <f>Income!D22</f>
        <v>0</v>
      </c>
      <c r="E8" s="743"/>
      <c r="F8" s="980"/>
      <c r="L8" s="412"/>
      <c r="M8" s="412"/>
      <c r="N8" s="412"/>
      <c r="O8" s="412"/>
      <c r="P8" s="412"/>
      <c r="Q8" s="412"/>
      <c r="R8" s="412"/>
      <c r="S8" s="412"/>
      <c r="T8" s="412"/>
      <c r="U8" s="412"/>
      <c r="V8" s="412"/>
      <c r="W8" s="412"/>
      <c r="X8" s="412"/>
      <c r="Y8" s="57"/>
      <c r="Z8" s="57"/>
      <c r="AA8" s="57"/>
      <c r="AB8" s="57"/>
      <c r="AC8" s="57"/>
      <c r="AD8" s="57"/>
      <c r="AE8" s="57"/>
      <c r="AF8" s="57"/>
    </row>
    <row r="9" spans="1:32" ht="15" customHeight="1" x14ac:dyDescent="0.2">
      <c r="A9" s="621" t="str">
        <f>Income!A23</f>
        <v>High Needs: Special Provision Funding</v>
      </c>
      <c r="B9" s="728"/>
      <c r="C9" s="728"/>
      <c r="D9" s="773">
        <f>Income!D23</f>
        <v>0</v>
      </c>
      <c r="E9" s="743"/>
      <c r="F9" s="980"/>
      <c r="L9" s="412"/>
      <c r="M9" s="412"/>
      <c r="N9" s="412"/>
      <c r="O9" s="412"/>
      <c r="P9" s="412"/>
      <c r="Q9" s="412"/>
      <c r="R9" s="412"/>
      <c r="S9" s="412"/>
      <c r="T9" s="412"/>
      <c r="U9" s="412"/>
      <c r="V9" s="412"/>
      <c r="W9" s="412"/>
      <c r="X9" s="412"/>
      <c r="Y9" s="57"/>
      <c r="Z9" s="57"/>
      <c r="AA9" s="57"/>
      <c r="AB9" s="57"/>
      <c r="AC9" s="57"/>
      <c r="AD9" s="57"/>
      <c r="AE9" s="57"/>
      <c r="AF9" s="57"/>
    </row>
    <row r="10" spans="1:32" ht="15" customHeight="1" x14ac:dyDescent="0.2">
      <c r="A10" s="621" t="str">
        <f>Income!A24</f>
        <v>Early Years Block Funding</v>
      </c>
      <c r="B10" s="728"/>
      <c r="C10" s="728"/>
      <c r="D10" s="773">
        <f>Income!D24</f>
        <v>0</v>
      </c>
      <c r="E10" s="743"/>
      <c r="F10" s="980"/>
      <c r="L10" s="412"/>
      <c r="M10" s="412"/>
      <c r="N10" s="412"/>
      <c r="O10" s="412"/>
      <c r="P10" s="412"/>
      <c r="Q10" s="412"/>
      <c r="R10" s="412"/>
      <c r="S10" s="412"/>
      <c r="T10" s="412"/>
      <c r="U10" s="412"/>
      <c r="V10" s="412"/>
      <c r="W10" s="412"/>
      <c r="X10" s="412"/>
      <c r="Y10" s="57"/>
      <c r="Z10" s="57"/>
      <c r="AA10" s="57"/>
      <c r="AB10" s="57"/>
      <c r="AC10" s="57"/>
      <c r="AD10" s="57"/>
      <c r="AE10" s="57"/>
      <c r="AF10" s="57"/>
    </row>
    <row r="11" spans="1:32" ht="15" customHeight="1" x14ac:dyDescent="0.2">
      <c r="A11" s="621" t="str">
        <f>Income!A25</f>
        <v>Pupil Premium Funding</v>
      </c>
      <c r="B11" s="725"/>
      <c r="C11" s="725"/>
      <c r="D11" s="773">
        <f>Income!D25</f>
        <v>10760</v>
      </c>
      <c r="E11" s="743"/>
      <c r="F11" s="980"/>
      <c r="L11" s="412"/>
      <c r="M11" s="412"/>
      <c r="N11" s="412"/>
      <c r="O11" s="412"/>
      <c r="P11" s="412"/>
      <c r="Q11" s="412"/>
      <c r="R11" s="412"/>
      <c r="S11" s="412"/>
      <c r="T11" s="412"/>
      <c r="U11" s="412"/>
      <c r="V11" s="412"/>
      <c r="W11" s="412"/>
      <c r="X11" s="412"/>
      <c r="Y11" s="57"/>
      <c r="Z11" s="57"/>
      <c r="AA11" s="57"/>
      <c r="AB11" s="57"/>
      <c r="AC11" s="57"/>
      <c r="AD11" s="57"/>
      <c r="AE11" s="57"/>
      <c r="AF11" s="57"/>
    </row>
    <row r="12" spans="1:32" x14ac:dyDescent="0.2">
      <c r="A12" s="621" t="str">
        <f>Income!A26</f>
        <v>KS1 Class Size Funding</v>
      </c>
      <c r="B12" s="728"/>
      <c r="C12" s="728"/>
      <c r="D12" s="773">
        <f>Income!D26</f>
        <v>9157</v>
      </c>
      <c r="E12" s="743"/>
      <c r="F12" s="978" t="str">
        <f t="shared" ref="F12:F29" si="0">IF(I12&gt;0,"Please enter a description in column A on the Income sheet","")</f>
        <v/>
      </c>
      <c r="L12" s="412"/>
      <c r="M12" s="412"/>
      <c r="N12" s="412"/>
      <c r="O12" s="412"/>
      <c r="P12" s="412"/>
      <c r="Q12" s="412"/>
      <c r="R12" s="412"/>
      <c r="S12" s="412"/>
      <c r="T12" s="412"/>
      <c r="U12" s="412"/>
      <c r="V12" s="412"/>
      <c r="W12" s="412"/>
      <c r="X12" s="412"/>
      <c r="Y12" s="57"/>
      <c r="Z12" s="57"/>
      <c r="AA12" s="57"/>
      <c r="AB12" s="57"/>
      <c r="AC12" s="57"/>
      <c r="AD12" s="57"/>
      <c r="AE12" s="57"/>
      <c r="AF12" s="57"/>
    </row>
    <row r="13" spans="1:32" x14ac:dyDescent="0.2">
      <c r="A13" s="621" t="str">
        <f>Income!A27</f>
        <v>Universal Infant Free School Meal Funding (UIFSM)</v>
      </c>
      <c r="B13" s="728"/>
      <c r="C13" s="728"/>
      <c r="D13" s="773">
        <f>Income!D27</f>
        <v>13419</v>
      </c>
      <c r="E13" s="743"/>
      <c r="F13" s="978" t="str">
        <f t="shared" si="0"/>
        <v/>
      </c>
      <c r="L13" s="412"/>
      <c r="M13" s="412"/>
      <c r="N13" s="412"/>
      <c r="O13" s="412"/>
      <c r="P13" s="412"/>
      <c r="Q13" s="412"/>
      <c r="R13" s="412"/>
      <c r="S13" s="412"/>
      <c r="T13" s="412"/>
      <c r="U13" s="412"/>
      <c r="V13" s="412"/>
      <c r="W13" s="412"/>
      <c r="X13" s="412"/>
      <c r="Y13" s="57"/>
      <c r="Z13" s="57"/>
      <c r="AA13" s="57"/>
      <c r="AB13" s="57"/>
      <c r="AC13" s="57"/>
      <c r="AD13" s="57"/>
      <c r="AE13" s="57"/>
      <c r="AF13" s="57"/>
    </row>
    <row r="14" spans="1:32" ht="15" customHeight="1" x14ac:dyDescent="0.2">
      <c r="A14" s="621" t="str">
        <f>Income!A28</f>
        <v>Sports Grant Funding</v>
      </c>
      <c r="B14" s="728"/>
      <c r="C14" s="728"/>
      <c r="D14" s="773">
        <f>Income!D28</f>
        <v>16730</v>
      </c>
      <c r="E14" s="743"/>
      <c r="F14" s="978" t="str">
        <f t="shared" si="0"/>
        <v/>
      </c>
      <c r="L14" s="412"/>
      <c r="M14" s="412"/>
      <c r="N14" s="412"/>
      <c r="O14" s="412"/>
      <c r="P14" s="412"/>
      <c r="Q14" s="412"/>
      <c r="R14" s="412"/>
      <c r="S14" s="412"/>
      <c r="T14" s="412"/>
      <c r="U14" s="412"/>
      <c r="V14" s="412"/>
      <c r="W14" s="412"/>
      <c r="X14" s="412"/>
      <c r="Y14" s="57"/>
      <c r="Z14" s="57"/>
      <c r="AA14" s="57"/>
      <c r="AB14" s="57"/>
      <c r="AC14" s="57"/>
      <c r="AD14" s="57"/>
      <c r="AE14" s="57"/>
      <c r="AF14" s="57"/>
    </row>
    <row r="15" spans="1:32" ht="15" customHeight="1" x14ac:dyDescent="0.2">
      <c r="A15" s="617" t="str">
        <f>IF(Income!A29="Other: Please enter description","Not in use",Income!A29)</f>
        <v>Teachers Pay Grant</v>
      </c>
      <c r="B15" s="728"/>
      <c r="C15" s="728"/>
      <c r="D15" s="773">
        <f>Income!D29</f>
        <v>4846</v>
      </c>
      <c r="E15" s="743"/>
      <c r="F15" s="978" t="str">
        <f t="shared" si="0"/>
        <v/>
      </c>
      <c r="I15" s="988">
        <f>IF(AND(D15&lt;&gt;0,A15="Not in use"),1,0)</f>
        <v>0</v>
      </c>
      <c r="L15" s="412"/>
      <c r="M15" s="412"/>
      <c r="N15" s="412"/>
      <c r="O15" s="412"/>
      <c r="P15" s="412"/>
      <c r="Q15" s="412"/>
      <c r="R15" s="412"/>
      <c r="S15" s="412"/>
      <c r="T15" s="412"/>
      <c r="U15" s="412"/>
      <c r="V15" s="412"/>
      <c r="W15" s="412"/>
      <c r="X15" s="412"/>
      <c r="Y15" s="57"/>
      <c r="Z15" s="57"/>
      <c r="AA15" s="57"/>
      <c r="AB15" s="57"/>
      <c r="AC15" s="57"/>
      <c r="AD15" s="57"/>
      <c r="AE15" s="57"/>
      <c r="AF15" s="57"/>
    </row>
    <row r="16" spans="1:32" ht="15" customHeight="1" x14ac:dyDescent="0.2">
      <c r="A16" s="617" t="str">
        <f>IF(Income!A30="Other: Please enter description","Not in use",Income!A30)</f>
        <v>Teachers Pension Grant</v>
      </c>
      <c r="B16" s="725"/>
      <c r="C16" s="725"/>
      <c r="D16" s="773">
        <f>Income!D30</f>
        <v>13689</v>
      </c>
      <c r="E16" s="743"/>
      <c r="F16" s="978" t="str">
        <f t="shared" si="0"/>
        <v/>
      </c>
      <c r="I16" s="988">
        <f t="shared" ref="I16:I29" si="1">IF(AND(D16&lt;&gt;0,A16="Not in use"),1,0)</f>
        <v>0</v>
      </c>
      <c r="L16" s="412"/>
      <c r="M16" s="412"/>
      <c r="N16" s="412"/>
      <c r="O16" s="412"/>
      <c r="P16" s="412"/>
      <c r="Q16" s="412"/>
      <c r="R16" s="412"/>
      <c r="S16" s="412"/>
      <c r="T16" s="412"/>
      <c r="U16" s="412"/>
      <c r="V16" s="412"/>
      <c r="W16" s="412"/>
      <c r="X16" s="412"/>
      <c r="Y16" s="57"/>
      <c r="Z16" s="57"/>
      <c r="AA16" s="57"/>
      <c r="AB16" s="57"/>
      <c r="AC16" s="57"/>
      <c r="AD16" s="57"/>
      <c r="AE16" s="57"/>
      <c r="AF16" s="57"/>
    </row>
    <row r="17" spans="1:32" ht="15" customHeight="1" x14ac:dyDescent="0.2">
      <c r="A17" s="617" t="str">
        <f>IF(Income!A31="Other: Please enter description","Not in use",Income!A31)</f>
        <v>Not in use</v>
      </c>
      <c r="B17" s="728"/>
      <c r="C17" s="728"/>
      <c r="D17" s="773">
        <f>Income!D31</f>
        <v>0</v>
      </c>
      <c r="E17" s="743"/>
      <c r="F17" s="978" t="str">
        <f t="shared" si="0"/>
        <v/>
      </c>
      <c r="G17" s="412"/>
      <c r="H17" s="412"/>
      <c r="I17" s="988">
        <f t="shared" si="1"/>
        <v>0</v>
      </c>
      <c r="J17" s="412"/>
      <c r="K17" s="412"/>
      <c r="L17" s="412"/>
      <c r="M17" s="412"/>
      <c r="N17" s="412"/>
      <c r="O17" s="412"/>
      <c r="P17" s="412"/>
      <c r="Q17" s="412"/>
      <c r="R17" s="412"/>
      <c r="S17" s="412"/>
      <c r="T17" s="412"/>
      <c r="U17" s="412"/>
      <c r="V17" s="412"/>
      <c r="W17" s="412"/>
      <c r="X17" s="412"/>
      <c r="Y17" s="57"/>
      <c r="Z17" s="57"/>
      <c r="AA17" s="57"/>
      <c r="AB17" s="57"/>
      <c r="AC17" s="57"/>
      <c r="AD17" s="57"/>
      <c r="AE17" s="57"/>
      <c r="AF17" s="57"/>
    </row>
    <row r="18" spans="1:32" ht="15" customHeight="1" x14ac:dyDescent="0.2">
      <c r="A18" s="617" t="str">
        <f>IF(Income!A32="Other: Please enter description","Not in use",Income!A32)</f>
        <v>Not in use</v>
      </c>
      <c r="B18" s="725"/>
      <c r="C18" s="725"/>
      <c r="D18" s="773">
        <f>Income!D32</f>
        <v>0</v>
      </c>
      <c r="E18" s="774"/>
      <c r="F18" s="978" t="str">
        <f t="shared" si="0"/>
        <v/>
      </c>
      <c r="G18" s="412"/>
      <c r="H18" s="412"/>
      <c r="I18" s="988">
        <f t="shared" si="1"/>
        <v>0</v>
      </c>
      <c r="J18" s="412"/>
      <c r="K18" s="412"/>
      <c r="L18" s="412"/>
      <c r="M18" s="412"/>
      <c r="N18" s="412"/>
      <c r="O18" s="412"/>
      <c r="P18" s="412"/>
      <c r="Q18" s="412"/>
      <c r="R18" s="412"/>
      <c r="S18" s="412"/>
      <c r="T18" s="412"/>
      <c r="U18" s="412"/>
      <c r="V18" s="412"/>
      <c r="W18" s="412"/>
      <c r="X18" s="412"/>
      <c r="Y18" s="57"/>
      <c r="Z18" s="57"/>
      <c r="AA18" s="57"/>
      <c r="AB18" s="57"/>
      <c r="AC18" s="57"/>
      <c r="AD18" s="57"/>
      <c r="AE18" s="57"/>
      <c r="AF18" s="57"/>
    </row>
    <row r="19" spans="1:32" ht="15" customHeight="1" x14ac:dyDescent="0.2">
      <c r="A19" s="617" t="str">
        <f>IF(Income!A33="Other: Please enter description","Not in use",Income!A33)</f>
        <v>Not in use</v>
      </c>
      <c r="B19" s="728"/>
      <c r="C19" s="728"/>
      <c r="D19" s="773">
        <f>Income!D33</f>
        <v>0</v>
      </c>
      <c r="E19" s="743"/>
      <c r="F19" s="978" t="str">
        <f t="shared" si="0"/>
        <v/>
      </c>
      <c r="G19" s="412"/>
      <c r="H19" s="412"/>
      <c r="I19" s="988">
        <f t="shared" si="1"/>
        <v>0</v>
      </c>
      <c r="J19" s="412"/>
      <c r="K19" s="412"/>
      <c r="L19" s="412"/>
      <c r="M19" s="412"/>
      <c r="N19" s="412"/>
      <c r="O19" s="412"/>
      <c r="P19" s="412"/>
      <c r="Q19" s="412"/>
      <c r="R19" s="412"/>
      <c r="S19" s="412"/>
      <c r="T19" s="412"/>
      <c r="U19" s="412"/>
      <c r="V19" s="412"/>
      <c r="W19" s="412"/>
      <c r="X19" s="412"/>
      <c r="Y19" s="57"/>
      <c r="Z19" s="57"/>
      <c r="AA19" s="57"/>
      <c r="AB19" s="57"/>
      <c r="AC19" s="57"/>
      <c r="AD19" s="57"/>
      <c r="AE19" s="57"/>
      <c r="AF19" s="57"/>
    </row>
    <row r="20" spans="1:32" ht="15" customHeight="1" x14ac:dyDescent="0.2">
      <c r="A20" s="617" t="str">
        <f>IF(Income!A34="Other: Please enter description","Not in use",Income!A34)</f>
        <v>Not in use</v>
      </c>
      <c r="B20" s="728"/>
      <c r="C20" s="728"/>
      <c r="D20" s="773">
        <f>Income!D34</f>
        <v>0</v>
      </c>
      <c r="E20" s="743"/>
      <c r="F20" s="978" t="str">
        <f t="shared" si="0"/>
        <v/>
      </c>
      <c r="G20" s="412"/>
      <c r="H20" s="412"/>
      <c r="I20" s="988">
        <f t="shared" si="1"/>
        <v>0</v>
      </c>
      <c r="J20" s="412"/>
      <c r="K20" s="412"/>
      <c r="L20" s="412"/>
      <c r="M20" s="412"/>
      <c r="N20" s="412"/>
      <c r="O20" s="412"/>
      <c r="P20" s="412"/>
      <c r="Q20" s="412"/>
      <c r="R20" s="412"/>
      <c r="S20" s="412"/>
      <c r="T20" s="412"/>
      <c r="U20" s="412"/>
      <c r="V20" s="412"/>
      <c r="W20" s="412"/>
      <c r="X20" s="412"/>
      <c r="Y20" s="57"/>
      <c r="Z20" s="57"/>
      <c r="AA20" s="57"/>
      <c r="AB20" s="57"/>
      <c r="AC20" s="57"/>
      <c r="AD20" s="57"/>
      <c r="AE20" s="57"/>
      <c r="AF20" s="57"/>
    </row>
    <row r="21" spans="1:32" ht="15" customHeight="1" x14ac:dyDescent="0.2">
      <c r="A21" s="617" t="str">
        <f>IF(Income!A35="Other: Please enter description","Not in use",Income!A35)</f>
        <v>Not in use</v>
      </c>
      <c r="B21" s="728"/>
      <c r="C21" s="728"/>
      <c r="D21" s="773">
        <f>Income!D35</f>
        <v>0</v>
      </c>
      <c r="E21" s="743"/>
      <c r="F21" s="978" t="str">
        <f t="shared" si="0"/>
        <v/>
      </c>
      <c r="G21" s="412"/>
      <c r="H21" s="412"/>
      <c r="I21" s="988">
        <f t="shared" si="1"/>
        <v>0</v>
      </c>
      <c r="J21" s="412"/>
      <c r="K21" s="412"/>
      <c r="L21" s="412"/>
      <c r="M21" s="412"/>
      <c r="N21" s="412"/>
      <c r="O21" s="412"/>
      <c r="P21" s="412"/>
      <c r="Q21" s="412"/>
      <c r="R21" s="412"/>
      <c r="S21" s="412"/>
      <c r="T21" s="412"/>
      <c r="U21" s="412"/>
      <c r="V21" s="412"/>
      <c r="W21" s="412"/>
      <c r="X21" s="412"/>
      <c r="Y21" s="57"/>
      <c r="Z21" s="57"/>
      <c r="AA21" s="57"/>
      <c r="AB21" s="57"/>
      <c r="AC21" s="57"/>
      <c r="AD21" s="57"/>
      <c r="AE21" s="57"/>
      <c r="AF21" s="57"/>
    </row>
    <row r="22" spans="1:32" ht="15" customHeight="1" x14ac:dyDescent="0.2">
      <c r="A22" s="617" t="str">
        <f>IF(Income!A36="Other: Please enter description","Not in use",Income!A36)</f>
        <v>Not in use</v>
      </c>
      <c r="B22" s="728"/>
      <c r="C22" s="728"/>
      <c r="D22" s="773">
        <f>Income!D36</f>
        <v>0</v>
      </c>
      <c r="E22" s="743"/>
      <c r="F22" s="978" t="str">
        <f t="shared" si="0"/>
        <v/>
      </c>
      <c r="G22" s="412"/>
      <c r="H22" s="412"/>
      <c r="I22" s="988">
        <f t="shared" si="1"/>
        <v>0</v>
      </c>
      <c r="J22" s="412"/>
      <c r="K22" s="412"/>
      <c r="L22" s="412"/>
      <c r="M22" s="412"/>
      <c r="N22" s="412"/>
      <c r="O22" s="412"/>
      <c r="P22" s="412"/>
      <c r="Q22" s="412"/>
      <c r="R22" s="412"/>
      <c r="S22" s="412"/>
      <c r="T22" s="412"/>
      <c r="U22" s="412"/>
      <c r="V22" s="412"/>
      <c r="W22" s="412"/>
      <c r="X22" s="412"/>
      <c r="Y22" s="57"/>
      <c r="Z22" s="57"/>
      <c r="AA22" s="57"/>
      <c r="AB22" s="57"/>
      <c r="AC22" s="57"/>
      <c r="AD22" s="57"/>
      <c r="AE22" s="57"/>
      <c r="AF22" s="57"/>
    </row>
    <row r="23" spans="1:32" ht="15" customHeight="1" x14ac:dyDescent="0.2">
      <c r="A23" s="617" t="str">
        <f>IF(Income!A37="Other: Please enter description","Not in use",Income!A37)</f>
        <v>Not in use</v>
      </c>
      <c r="B23" s="728"/>
      <c r="C23" s="728"/>
      <c r="D23" s="773">
        <f>Income!D37</f>
        <v>0</v>
      </c>
      <c r="E23" s="743"/>
      <c r="F23" s="978" t="str">
        <f t="shared" si="0"/>
        <v/>
      </c>
      <c r="G23" s="412"/>
      <c r="H23" s="412"/>
      <c r="I23" s="988">
        <f t="shared" si="1"/>
        <v>0</v>
      </c>
      <c r="J23" s="412"/>
      <c r="K23" s="412"/>
      <c r="L23" s="412"/>
      <c r="M23" s="412"/>
      <c r="N23" s="412"/>
      <c r="O23" s="412"/>
      <c r="P23" s="412"/>
      <c r="Q23" s="412"/>
      <c r="R23" s="412"/>
      <c r="S23" s="412"/>
      <c r="T23" s="412"/>
      <c r="U23" s="412"/>
      <c r="V23" s="412"/>
      <c r="W23" s="412"/>
      <c r="X23" s="412"/>
      <c r="Y23" s="57"/>
      <c r="Z23" s="57"/>
      <c r="AA23" s="57"/>
      <c r="AB23" s="57"/>
      <c r="AC23" s="57"/>
      <c r="AD23" s="57"/>
      <c r="AE23" s="57"/>
      <c r="AF23" s="57"/>
    </row>
    <row r="24" spans="1:32" ht="15" customHeight="1" x14ac:dyDescent="0.2">
      <c r="A24" s="617" t="str">
        <f>IF(Income!A38="Other: Please enter description","Not in use",Income!A38)</f>
        <v>Not in use</v>
      </c>
      <c r="B24" s="728"/>
      <c r="C24" s="728"/>
      <c r="D24" s="773">
        <f>Income!D38</f>
        <v>0</v>
      </c>
      <c r="E24" s="743"/>
      <c r="F24" s="978" t="str">
        <f t="shared" si="0"/>
        <v/>
      </c>
      <c r="G24" s="412"/>
      <c r="H24" s="412"/>
      <c r="I24" s="988">
        <f t="shared" si="1"/>
        <v>0</v>
      </c>
      <c r="J24" s="412"/>
      <c r="K24" s="412"/>
      <c r="L24" s="412"/>
      <c r="M24" s="412"/>
      <c r="N24" s="412"/>
      <c r="O24" s="412"/>
      <c r="P24" s="412"/>
      <c r="Q24" s="412"/>
      <c r="R24" s="412"/>
      <c r="S24" s="412"/>
      <c r="T24" s="412"/>
      <c r="U24" s="412"/>
      <c r="V24" s="412"/>
      <c r="W24" s="412"/>
      <c r="X24" s="412"/>
      <c r="Y24" s="57"/>
      <c r="Z24" s="57"/>
      <c r="AA24" s="57"/>
      <c r="AB24" s="57"/>
      <c r="AC24" s="57"/>
      <c r="AD24" s="57"/>
      <c r="AE24" s="57"/>
      <c r="AF24" s="57"/>
    </row>
    <row r="25" spans="1:32" ht="15" customHeight="1" x14ac:dyDescent="0.2">
      <c r="A25" s="617" t="str">
        <f>IF(Income!A39="Other: Please enter description","Not in use",Income!A39)</f>
        <v>Not in use</v>
      </c>
      <c r="B25" s="728"/>
      <c r="C25" s="728"/>
      <c r="D25" s="773">
        <f>Income!D39</f>
        <v>0</v>
      </c>
      <c r="E25" s="774"/>
      <c r="F25" s="978" t="str">
        <f t="shared" si="0"/>
        <v/>
      </c>
      <c r="G25" s="412"/>
      <c r="H25" s="412"/>
      <c r="I25" s="988">
        <f t="shared" si="1"/>
        <v>0</v>
      </c>
      <c r="J25" s="412"/>
      <c r="K25" s="412"/>
      <c r="L25" s="412"/>
      <c r="M25" s="412"/>
      <c r="N25" s="412"/>
      <c r="O25" s="412"/>
      <c r="P25" s="412"/>
      <c r="Q25" s="412"/>
      <c r="R25" s="412"/>
      <c r="S25" s="412"/>
      <c r="T25" s="412"/>
      <c r="U25" s="412"/>
      <c r="V25" s="412"/>
      <c r="W25" s="412"/>
      <c r="X25" s="412"/>
      <c r="Y25" s="57"/>
      <c r="Z25" s="57"/>
      <c r="AA25" s="57"/>
      <c r="AB25" s="57"/>
      <c r="AC25" s="57"/>
      <c r="AD25" s="57"/>
      <c r="AE25" s="57"/>
      <c r="AF25" s="57"/>
    </row>
    <row r="26" spans="1:32" ht="15" customHeight="1" x14ac:dyDescent="0.2">
      <c r="A26" s="617" t="str">
        <f>IF(Income!A40="Other: Please enter description","Not in use",Income!A40)</f>
        <v>Not in use</v>
      </c>
      <c r="B26" s="728"/>
      <c r="C26" s="728"/>
      <c r="D26" s="773">
        <f>Income!D40</f>
        <v>0</v>
      </c>
      <c r="E26" s="774"/>
      <c r="F26" s="978" t="str">
        <f t="shared" si="0"/>
        <v/>
      </c>
      <c r="G26" s="412"/>
      <c r="H26" s="412"/>
      <c r="I26" s="988">
        <f t="shared" si="1"/>
        <v>0</v>
      </c>
      <c r="J26" s="412"/>
      <c r="K26" s="412"/>
      <c r="L26" s="412"/>
      <c r="M26" s="412"/>
      <c r="N26" s="412"/>
      <c r="O26" s="412"/>
      <c r="P26" s="412"/>
      <c r="Q26" s="412"/>
      <c r="R26" s="412"/>
      <c r="S26" s="412"/>
      <c r="T26" s="412"/>
      <c r="U26" s="412"/>
      <c r="V26" s="412"/>
      <c r="W26" s="412"/>
      <c r="X26" s="412"/>
      <c r="Y26" s="57"/>
      <c r="Z26" s="57"/>
      <c r="AA26" s="57"/>
      <c r="AB26" s="57"/>
      <c r="AC26" s="57"/>
      <c r="AD26" s="57"/>
      <c r="AE26" s="57"/>
      <c r="AF26" s="57"/>
    </row>
    <row r="27" spans="1:32" ht="15" customHeight="1" x14ac:dyDescent="0.2">
      <c r="A27" s="617" t="str">
        <f>IF(Income!A41="Other: Please enter description","Not in use",Income!A41)</f>
        <v>Not in use</v>
      </c>
      <c r="B27" s="728"/>
      <c r="C27" s="728"/>
      <c r="D27" s="773">
        <f>Income!D41</f>
        <v>0</v>
      </c>
      <c r="E27" s="774"/>
      <c r="F27" s="978" t="str">
        <f t="shared" si="0"/>
        <v/>
      </c>
      <c r="G27" s="412"/>
      <c r="H27" s="412"/>
      <c r="I27" s="988">
        <f t="shared" si="1"/>
        <v>0</v>
      </c>
      <c r="J27" s="412"/>
      <c r="K27" s="412"/>
      <c r="L27" s="412"/>
      <c r="M27" s="412"/>
      <c r="N27" s="412"/>
      <c r="O27" s="412"/>
      <c r="P27" s="412"/>
      <c r="Q27" s="412"/>
      <c r="R27" s="412"/>
      <c r="S27" s="412"/>
      <c r="T27" s="412"/>
      <c r="U27" s="412"/>
      <c r="V27" s="412"/>
      <c r="W27" s="412"/>
      <c r="X27" s="412"/>
      <c r="Y27" s="57"/>
      <c r="Z27" s="57"/>
      <c r="AA27" s="57"/>
      <c r="AB27" s="57"/>
      <c r="AC27" s="57"/>
      <c r="AD27" s="57"/>
      <c r="AE27" s="57"/>
      <c r="AF27" s="57"/>
    </row>
    <row r="28" spans="1:32" ht="15" customHeight="1" x14ac:dyDescent="0.2">
      <c r="A28" s="617" t="str">
        <f>IF(Income!A42="Other: Please enter description","Not in use",Income!A42)</f>
        <v>Not in use</v>
      </c>
      <c r="B28" s="728"/>
      <c r="C28" s="728"/>
      <c r="D28" s="773">
        <f>Income!D42</f>
        <v>0</v>
      </c>
      <c r="E28" s="739"/>
      <c r="F28" s="978" t="str">
        <f t="shared" si="0"/>
        <v/>
      </c>
      <c r="G28" s="412"/>
      <c r="H28" s="412"/>
      <c r="I28" s="988">
        <f t="shared" si="1"/>
        <v>0</v>
      </c>
      <c r="J28" s="412"/>
      <c r="K28" s="412"/>
      <c r="L28" s="412"/>
      <c r="M28" s="412"/>
      <c r="N28" s="412"/>
      <c r="O28" s="412"/>
      <c r="P28" s="412"/>
      <c r="Q28" s="412"/>
      <c r="R28" s="412"/>
      <c r="S28" s="412"/>
      <c r="T28" s="412"/>
      <c r="U28" s="412"/>
      <c r="V28" s="412"/>
      <c r="W28" s="412"/>
      <c r="X28" s="412"/>
      <c r="Y28" s="57"/>
      <c r="Z28" s="57"/>
      <c r="AA28" s="57"/>
      <c r="AB28" s="57"/>
      <c r="AC28" s="57"/>
      <c r="AD28" s="57"/>
      <c r="AE28" s="57"/>
      <c r="AF28" s="57"/>
    </row>
    <row r="29" spans="1:32" ht="15" customHeight="1" x14ac:dyDescent="0.2">
      <c r="A29" s="617" t="str">
        <f>IF(Income!A43="Other: Please enter description","Not in use",Income!A43)</f>
        <v>Not in use</v>
      </c>
      <c r="B29" s="728"/>
      <c r="C29" s="728"/>
      <c r="D29" s="773">
        <f>Income!D43</f>
        <v>0</v>
      </c>
      <c r="E29" s="775">
        <f>SUM(D5:D29)</f>
        <v>476733</v>
      </c>
      <c r="F29" s="978" t="str">
        <f t="shared" si="0"/>
        <v/>
      </c>
      <c r="G29" s="412"/>
      <c r="H29" s="412"/>
      <c r="I29" s="988">
        <f t="shared" si="1"/>
        <v>0</v>
      </c>
      <c r="J29" s="412"/>
      <c r="K29" s="412"/>
      <c r="L29" s="412"/>
      <c r="M29" s="412"/>
      <c r="N29" s="412"/>
      <c r="O29" s="412"/>
      <c r="P29" s="412"/>
      <c r="Q29" s="412"/>
      <c r="R29" s="412"/>
      <c r="S29" s="412"/>
      <c r="T29" s="412"/>
      <c r="U29" s="412"/>
      <c r="V29" s="412"/>
      <c r="W29" s="412"/>
      <c r="X29" s="412"/>
      <c r="Y29" s="57"/>
      <c r="Z29" s="57"/>
      <c r="AA29" s="57"/>
      <c r="AB29" s="57"/>
      <c r="AC29" s="57"/>
      <c r="AD29" s="57"/>
      <c r="AE29" s="57"/>
      <c r="AF29" s="57"/>
    </row>
    <row r="30" spans="1:32" ht="9" customHeight="1" x14ac:dyDescent="0.2">
      <c r="A30" s="619"/>
      <c r="B30" s="725"/>
      <c r="C30" s="725"/>
      <c r="D30" s="776"/>
      <c r="E30" s="727"/>
      <c r="F30" s="980"/>
      <c r="G30" s="412"/>
      <c r="H30" s="412"/>
      <c r="J30" s="412"/>
      <c r="K30" s="412"/>
      <c r="L30" s="412"/>
      <c r="M30" s="412"/>
      <c r="N30" s="412"/>
      <c r="O30" s="412"/>
      <c r="P30" s="412"/>
      <c r="Q30" s="412"/>
      <c r="R30" s="412"/>
      <c r="S30" s="412"/>
      <c r="T30" s="412"/>
      <c r="U30" s="412"/>
      <c r="V30" s="412"/>
      <c r="W30" s="412"/>
      <c r="X30" s="412"/>
      <c r="Y30" s="57"/>
      <c r="Z30" s="57"/>
      <c r="AA30" s="57"/>
      <c r="AB30" s="57"/>
      <c r="AC30" s="57"/>
      <c r="AD30" s="57"/>
      <c r="AE30" s="57"/>
      <c r="AF30" s="57"/>
    </row>
    <row r="31" spans="1:32" ht="15" customHeight="1" x14ac:dyDescent="0.2">
      <c r="A31" s="614" t="s">
        <v>262</v>
      </c>
      <c r="B31" s="180"/>
      <c r="C31" s="180"/>
      <c r="D31" s="769"/>
      <c r="E31" s="727"/>
      <c r="F31" s="980"/>
      <c r="G31" s="412"/>
      <c r="H31" s="412"/>
      <c r="J31" s="412"/>
      <c r="K31" s="412"/>
      <c r="L31" s="412"/>
      <c r="M31" s="412"/>
      <c r="N31" s="412"/>
      <c r="O31" s="412"/>
      <c r="P31" s="412"/>
      <c r="Q31" s="412"/>
      <c r="R31" s="412"/>
      <c r="S31" s="412"/>
      <c r="T31" s="412"/>
      <c r="U31" s="412"/>
      <c r="V31" s="412"/>
      <c r="W31" s="412"/>
      <c r="X31" s="412"/>
      <c r="Y31" s="57"/>
      <c r="Z31" s="57"/>
      <c r="AA31" s="57"/>
      <c r="AB31" s="57"/>
      <c r="AC31" s="57"/>
      <c r="AD31" s="57"/>
      <c r="AE31" s="57"/>
      <c r="AF31" s="57"/>
    </row>
    <row r="32" spans="1:32" ht="15" customHeight="1" x14ac:dyDescent="0.2">
      <c r="A32" s="720" t="s">
        <v>261</v>
      </c>
      <c r="B32" s="746"/>
      <c r="C32" s="746"/>
      <c r="D32" s="773">
        <f>Income!D47</f>
        <v>0</v>
      </c>
      <c r="E32" s="727"/>
      <c r="F32" s="980"/>
      <c r="G32" s="412"/>
      <c r="H32" s="412"/>
      <c r="J32" s="412"/>
      <c r="K32" s="412"/>
      <c r="L32" s="412"/>
      <c r="M32" s="412"/>
      <c r="N32" s="412"/>
      <c r="O32" s="412"/>
      <c r="P32" s="412"/>
      <c r="Q32" s="412"/>
      <c r="R32" s="412"/>
      <c r="S32" s="412"/>
      <c r="T32" s="412"/>
      <c r="U32" s="412"/>
      <c r="V32" s="412"/>
      <c r="W32" s="412"/>
      <c r="X32" s="412"/>
      <c r="Y32" s="57"/>
      <c r="Z32" s="57"/>
      <c r="AA32" s="57"/>
      <c r="AB32" s="57"/>
      <c r="AC32" s="57"/>
      <c r="AD32" s="57"/>
      <c r="AE32" s="57"/>
      <c r="AF32" s="57"/>
    </row>
    <row r="33" spans="1:32" ht="15" customHeight="1" x14ac:dyDescent="0.2">
      <c r="A33" s="617" t="s">
        <v>263</v>
      </c>
      <c r="B33" s="728"/>
      <c r="C33" s="728"/>
      <c r="D33" s="773">
        <f>Income!D48</f>
        <v>0</v>
      </c>
      <c r="E33" s="727"/>
      <c r="F33" s="980"/>
      <c r="L33" s="412"/>
      <c r="M33" s="412"/>
      <c r="N33" s="412"/>
      <c r="O33" s="412"/>
      <c r="P33" s="412"/>
      <c r="Q33" s="412"/>
      <c r="R33" s="412"/>
      <c r="S33" s="412"/>
      <c r="T33" s="412"/>
      <c r="U33" s="412"/>
      <c r="V33" s="412"/>
      <c r="W33" s="412"/>
      <c r="X33" s="412"/>
      <c r="Y33" s="57"/>
      <c r="Z33" s="57"/>
      <c r="AA33" s="57"/>
      <c r="AB33" s="57"/>
      <c r="AC33" s="57"/>
      <c r="AD33" s="57"/>
      <c r="AE33" s="57"/>
      <c r="AF33" s="57"/>
    </row>
    <row r="34" spans="1:32" ht="15" customHeight="1" x14ac:dyDescent="0.2">
      <c r="A34" s="617" t="str">
        <f>IF(Income!A49="Other: Please enter description","Not in use",Income!A49)</f>
        <v>Catering Income</v>
      </c>
      <c r="B34" s="728"/>
      <c r="C34" s="728"/>
      <c r="D34" s="773">
        <f>Income!D49</f>
        <v>8580</v>
      </c>
      <c r="E34" s="739"/>
      <c r="F34" s="978" t="str">
        <f t="shared" ref="F34:F46" si="2">IF(I34&gt;0,"Please enter a description in column A on the Income sheet","")</f>
        <v/>
      </c>
      <c r="I34" s="988">
        <f t="shared" ref="I34:I46" si="3">IF(AND(D34&lt;&gt;0,A34="Not in use"),1,0)</f>
        <v>0</v>
      </c>
      <c r="L34" s="412"/>
      <c r="M34" s="412"/>
      <c r="N34" s="412"/>
      <c r="O34" s="412"/>
      <c r="P34" s="412"/>
      <c r="Q34" s="412"/>
      <c r="R34" s="412"/>
      <c r="S34" s="412"/>
      <c r="T34" s="412"/>
      <c r="U34" s="412"/>
      <c r="V34" s="412"/>
      <c r="W34" s="412"/>
      <c r="X34" s="412"/>
      <c r="Y34" s="57"/>
      <c r="Z34" s="57"/>
      <c r="AA34" s="57"/>
      <c r="AB34" s="57"/>
      <c r="AC34" s="57"/>
      <c r="AD34" s="57"/>
      <c r="AE34" s="57"/>
      <c r="AF34" s="57"/>
    </row>
    <row r="35" spans="1:32" ht="15" customHeight="1" x14ac:dyDescent="0.2">
      <c r="A35" s="617" t="str">
        <f>IF(Income!A50="Other: Please enter description","Not in use",Income!A50)</f>
        <v>Swimming Income</v>
      </c>
      <c r="B35" s="728"/>
      <c r="C35" s="728"/>
      <c r="D35" s="773">
        <f>Income!D50</f>
        <v>920</v>
      </c>
      <c r="E35" s="739"/>
      <c r="F35" s="978" t="str">
        <f t="shared" si="2"/>
        <v/>
      </c>
      <c r="I35" s="988">
        <f t="shared" si="3"/>
        <v>0</v>
      </c>
      <c r="L35" s="412"/>
      <c r="M35" s="412"/>
      <c r="N35" s="412"/>
      <c r="O35" s="412"/>
      <c r="P35" s="412"/>
      <c r="Q35" s="412"/>
      <c r="R35" s="412"/>
      <c r="S35" s="412"/>
      <c r="T35" s="412"/>
      <c r="U35" s="412"/>
      <c r="V35" s="412"/>
      <c r="W35" s="412"/>
      <c r="X35" s="412"/>
      <c r="Y35" s="57"/>
      <c r="Z35" s="57"/>
      <c r="AA35" s="57"/>
      <c r="AB35" s="57"/>
      <c r="AC35" s="57"/>
      <c r="AD35" s="57"/>
      <c r="AE35" s="57"/>
      <c r="AF35" s="57"/>
    </row>
    <row r="36" spans="1:32" ht="15" customHeight="1" x14ac:dyDescent="0.2">
      <c r="A36" s="617" t="str">
        <f>IF(Income!A51="Other: Please enter description","Not in use",Income!A51)</f>
        <v>School Club Income</v>
      </c>
      <c r="B36" s="728"/>
      <c r="C36" s="728"/>
      <c r="D36" s="773">
        <f>Income!D51</f>
        <v>600</v>
      </c>
      <c r="E36" s="739"/>
      <c r="F36" s="978" t="str">
        <f t="shared" si="2"/>
        <v/>
      </c>
      <c r="I36" s="988">
        <f t="shared" si="3"/>
        <v>0</v>
      </c>
      <c r="L36" s="412"/>
      <c r="M36" s="412"/>
      <c r="N36" s="412"/>
      <c r="O36" s="412"/>
      <c r="P36" s="412"/>
      <c r="Q36" s="412"/>
      <c r="R36" s="412"/>
      <c r="S36" s="412"/>
      <c r="T36" s="412"/>
      <c r="U36" s="412"/>
      <c r="V36" s="412"/>
      <c r="W36" s="412"/>
      <c r="X36" s="412"/>
      <c r="Y36" s="57"/>
      <c r="Z36" s="57"/>
      <c r="AA36" s="57"/>
      <c r="AB36" s="57"/>
      <c r="AC36" s="57"/>
      <c r="AD36" s="57"/>
      <c r="AE36" s="57"/>
      <c r="AF36" s="57"/>
    </row>
    <row r="37" spans="1:32" ht="15" customHeight="1" x14ac:dyDescent="0.2">
      <c r="A37" s="617" t="str">
        <f>IF(Income!A52="Other: Please enter description","Not in use",Income!A52)</f>
        <v>Breakfast Club Income</v>
      </c>
      <c r="B37" s="728"/>
      <c r="C37" s="728"/>
      <c r="D37" s="773">
        <f>Income!D52</f>
        <v>3048</v>
      </c>
      <c r="E37" s="739"/>
      <c r="F37" s="978" t="str">
        <f t="shared" si="2"/>
        <v/>
      </c>
      <c r="I37" s="988">
        <f t="shared" si="3"/>
        <v>0</v>
      </c>
      <c r="L37" s="412"/>
      <c r="M37" s="412"/>
      <c r="N37" s="412"/>
      <c r="O37" s="412"/>
      <c r="P37" s="412"/>
      <c r="Q37" s="412"/>
      <c r="R37" s="412"/>
      <c r="S37" s="412"/>
      <c r="T37" s="412"/>
      <c r="U37" s="412"/>
      <c r="V37" s="412"/>
      <c r="W37" s="412"/>
      <c r="X37" s="412"/>
      <c r="Y37" s="57"/>
      <c r="Z37" s="57"/>
      <c r="AA37" s="57"/>
      <c r="AB37" s="57"/>
      <c r="AC37" s="57"/>
      <c r="AD37" s="57"/>
      <c r="AE37" s="57"/>
      <c r="AF37" s="57"/>
    </row>
    <row r="38" spans="1:32" ht="15" customHeight="1" x14ac:dyDescent="0.2">
      <c r="A38" s="617" t="str">
        <f>IF(Income!A53="Other: Please enter description","Not in use",Income!A53)</f>
        <v>SAS Maternity Insurance</v>
      </c>
      <c r="B38" s="728"/>
      <c r="C38" s="728"/>
      <c r="D38" s="773">
        <f>Income!D53</f>
        <v>4480</v>
      </c>
      <c r="E38" s="739"/>
      <c r="F38" s="978" t="str">
        <f t="shared" si="2"/>
        <v/>
      </c>
      <c r="I38" s="988">
        <f t="shared" si="3"/>
        <v>0</v>
      </c>
      <c r="L38" s="412"/>
      <c r="M38" s="412"/>
      <c r="N38" s="412"/>
      <c r="O38" s="412"/>
      <c r="P38" s="412"/>
      <c r="Q38" s="412"/>
      <c r="R38" s="412"/>
      <c r="S38" s="412"/>
      <c r="T38" s="412"/>
      <c r="U38" s="412"/>
      <c r="V38" s="412"/>
      <c r="W38" s="412"/>
      <c r="X38" s="412"/>
      <c r="Y38" s="57"/>
      <c r="Z38" s="57"/>
      <c r="AA38" s="57"/>
      <c r="AB38" s="57"/>
      <c r="AC38" s="57"/>
      <c r="AD38" s="57"/>
      <c r="AE38" s="57"/>
      <c r="AF38" s="57"/>
    </row>
    <row r="39" spans="1:32" ht="15" customHeight="1" x14ac:dyDescent="0.2">
      <c r="A39" s="617">
        <f>IF(Income!A54="Other: Please enter description","Not in use",Income!A54)</f>
        <v>0</v>
      </c>
      <c r="B39" s="728"/>
      <c r="C39" s="728"/>
      <c r="D39" s="773">
        <f>Income!D54</f>
        <v>0</v>
      </c>
      <c r="E39" s="739"/>
      <c r="F39" s="978" t="str">
        <f t="shared" si="2"/>
        <v/>
      </c>
      <c r="I39" s="988">
        <f t="shared" si="3"/>
        <v>0</v>
      </c>
      <c r="L39" s="412"/>
      <c r="M39" s="412"/>
      <c r="N39" s="412"/>
      <c r="O39" s="412"/>
      <c r="P39" s="412"/>
      <c r="Q39" s="412"/>
      <c r="R39" s="412"/>
      <c r="S39" s="412"/>
      <c r="T39" s="412"/>
      <c r="U39" s="412"/>
      <c r="V39" s="412"/>
      <c r="W39" s="412"/>
      <c r="X39" s="412"/>
      <c r="Y39" s="57"/>
      <c r="Z39" s="57"/>
      <c r="AA39" s="57"/>
      <c r="AB39" s="57"/>
      <c r="AC39" s="57"/>
      <c r="AD39" s="57"/>
      <c r="AE39" s="57"/>
      <c r="AF39" s="57"/>
    </row>
    <row r="40" spans="1:32" ht="15" customHeight="1" x14ac:dyDescent="0.2">
      <c r="A40" s="617" t="str">
        <f>IF(Income!A55="Other: Please enter description","Not in use",Income!A55)</f>
        <v>Not in use</v>
      </c>
      <c r="B40" s="728"/>
      <c r="C40" s="728"/>
      <c r="D40" s="773">
        <f>Income!D55</f>
        <v>0</v>
      </c>
      <c r="E40" s="739"/>
      <c r="F40" s="978" t="str">
        <f t="shared" si="2"/>
        <v/>
      </c>
      <c r="I40" s="988">
        <f t="shared" si="3"/>
        <v>0</v>
      </c>
      <c r="L40" s="412"/>
      <c r="M40" s="412"/>
      <c r="N40" s="412"/>
      <c r="O40" s="412"/>
      <c r="P40" s="412"/>
      <c r="Q40" s="412"/>
      <c r="R40" s="412"/>
      <c r="S40" s="412"/>
      <c r="T40" s="412"/>
      <c r="U40" s="412"/>
      <c r="V40" s="412"/>
      <c r="W40" s="412"/>
      <c r="X40" s="412"/>
      <c r="Y40" s="57"/>
      <c r="Z40" s="57"/>
      <c r="AA40" s="57"/>
      <c r="AB40" s="57"/>
      <c r="AC40" s="57"/>
      <c r="AD40" s="57"/>
      <c r="AE40" s="57"/>
      <c r="AF40" s="57"/>
    </row>
    <row r="41" spans="1:32" ht="15" customHeight="1" x14ac:dyDescent="0.2">
      <c r="A41" s="617" t="str">
        <f>IF(Income!A56="Other: Please enter description","Not in use",Income!A56)</f>
        <v>Not in use</v>
      </c>
      <c r="B41" s="728"/>
      <c r="C41" s="728"/>
      <c r="D41" s="773">
        <f>Income!D56</f>
        <v>0</v>
      </c>
      <c r="E41" s="739"/>
      <c r="F41" s="978" t="str">
        <f t="shared" si="2"/>
        <v/>
      </c>
      <c r="I41" s="988">
        <f t="shared" si="3"/>
        <v>0</v>
      </c>
      <c r="L41" s="412"/>
      <c r="M41" s="412"/>
      <c r="N41" s="412"/>
      <c r="O41" s="412"/>
      <c r="P41" s="412"/>
      <c r="Q41" s="412"/>
      <c r="R41" s="412"/>
      <c r="S41" s="412"/>
      <c r="T41" s="412"/>
      <c r="U41" s="412"/>
      <c r="V41" s="412"/>
      <c r="W41" s="412"/>
      <c r="X41" s="412"/>
      <c r="Y41" s="57"/>
      <c r="Z41" s="57"/>
      <c r="AA41" s="57"/>
      <c r="AB41" s="57"/>
      <c r="AC41" s="57"/>
      <c r="AD41" s="57"/>
      <c r="AE41" s="57"/>
      <c r="AF41" s="57"/>
    </row>
    <row r="42" spans="1:32" ht="15" customHeight="1" x14ac:dyDescent="0.2">
      <c r="A42" s="617" t="str">
        <f>IF(Income!A57="Other: Please enter description","Not in use",Income!A57)</f>
        <v>Not in use</v>
      </c>
      <c r="B42" s="728"/>
      <c r="C42" s="728"/>
      <c r="D42" s="773">
        <f>Income!D57</f>
        <v>0</v>
      </c>
      <c r="E42" s="739"/>
      <c r="F42" s="978" t="str">
        <f t="shared" si="2"/>
        <v/>
      </c>
      <c r="I42" s="988">
        <f t="shared" si="3"/>
        <v>0</v>
      </c>
      <c r="L42" s="412"/>
      <c r="M42" s="412"/>
      <c r="N42" s="412"/>
      <c r="O42" s="412"/>
      <c r="P42" s="412"/>
      <c r="Q42" s="412"/>
      <c r="R42" s="412"/>
      <c r="S42" s="412"/>
      <c r="T42" s="412"/>
      <c r="U42" s="412"/>
      <c r="V42" s="412"/>
      <c r="W42" s="412"/>
      <c r="X42" s="412"/>
      <c r="Y42" s="57"/>
      <c r="Z42" s="57"/>
      <c r="AA42" s="57"/>
      <c r="AB42" s="57"/>
      <c r="AC42" s="57"/>
      <c r="AD42" s="57"/>
      <c r="AE42" s="57"/>
      <c r="AF42" s="57"/>
    </row>
    <row r="43" spans="1:32" ht="15" customHeight="1" x14ac:dyDescent="0.2">
      <c r="A43" s="617" t="str">
        <f>IF(Income!A58="Other: Please enter description","Not in use",Income!A58)</f>
        <v>Not in use</v>
      </c>
      <c r="B43" s="728"/>
      <c r="C43" s="728"/>
      <c r="D43" s="773">
        <f>Income!D58</f>
        <v>0</v>
      </c>
      <c r="E43" s="739"/>
      <c r="F43" s="978" t="str">
        <f t="shared" si="2"/>
        <v/>
      </c>
      <c r="I43" s="988">
        <f t="shared" si="3"/>
        <v>0</v>
      </c>
      <c r="L43" s="412"/>
      <c r="M43" s="412"/>
      <c r="N43" s="412"/>
      <c r="O43" s="412"/>
      <c r="P43" s="412"/>
      <c r="Q43" s="412"/>
      <c r="R43" s="412"/>
      <c r="S43" s="412"/>
      <c r="T43" s="412"/>
      <c r="U43" s="412"/>
      <c r="V43" s="412"/>
      <c r="W43" s="412"/>
      <c r="X43" s="412"/>
      <c r="Y43" s="57"/>
      <c r="Z43" s="57"/>
      <c r="AA43" s="57"/>
      <c r="AB43" s="57"/>
      <c r="AC43" s="57"/>
      <c r="AD43" s="57"/>
      <c r="AE43" s="57"/>
      <c r="AF43" s="57"/>
    </row>
    <row r="44" spans="1:32" ht="15" customHeight="1" x14ac:dyDescent="0.2">
      <c r="A44" s="617" t="str">
        <f>IF(Income!A59="Other: Please enter description","Not in use",Income!A59)</f>
        <v>Not in use</v>
      </c>
      <c r="B44" s="728"/>
      <c r="C44" s="728"/>
      <c r="D44" s="773">
        <f>Income!D59</f>
        <v>0</v>
      </c>
      <c r="E44" s="739"/>
      <c r="F44" s="978" t="str">
        <f t="shared" si="2"/>
        <v/>
      </c>
      <c r="I44" s="988">
        <f t="shared" si="3"/>
        <v>0</v>
      </c>
      <c r="L44" s="412"/>
      <c r="M44" s="412"/>
      <c r="N44" s="412"/>
      <c r="O44" s="412"/>
      <c r="P44" s="412"/>
      <c r="Q44" s="412"/>
      <c r="R44" s="412"/>
      <c r="S44" s="412"/>
      <c r="T44" s="412"/>
      <c r="U44" s="412"/>
      <c r="V44" s="412"/>
      <c r="W44" s="412"/>
      <c r="X44" s="412"/>
      <c r="Y44" s="57"/>
      <c r="Z44" s="57"/>
      <c r="AA44" s="57"/>
      <c r="AB44" s="57"/>
      <c r="AC44" s="57"/>
      <c r="AD44" s="57"/>
      <c r="AE44" s="57"/>
      <c r="AF44" s="57"/>
    </row>
    <row r="45" spans="1:32" ht="15" customHeight="1" x14ac:dyDescent="0.2">
      <c r="A45" s="617" t="str">
        <f>IF(Income!A60="Other: Please enter description","Not in use",Income!A60)</f>
        <v>Not in use</v>
      </c>
      <c r="B45" s="728"/>
      <c r="C45" s="728"/>
      <c r="D45" s="773">
        <f>Income!D60</f>
        <v>0</v>
      </c>
      <c r="E45" s="739"/>
      <c r="F45" s="978" t="str">
        <f t="shared" si="2"/>
        <v/>
      </c>
      <c r="I45" s="988">
        <f t="shared" si="3"/>
        <v>0</v>
      </c>
      <c r="L45" s="412"/>
      <c r="M45" s="412"/>
      <c r="N45" s="412"/>
      <c r="O45" s="412"/>
      <c r="P45" s="412"/>
      <c r="Q45" s="412"/>
      <c r="R45" s="412"/>
      <c r="S45" s="412"/>
      <c r="T45" s="412"/>
      <c r="U45" s="412"/>
      <c r="V45" s="412"/>
      <c r="W45" s="412"/>
      <c r="X45" s="412"/>
      <c r="Y45" s="57"/>
      <c r="Z45" s="57"/>
      <c r="AA45" s="57"/>
      <c r="AB45" s="57"/>
      <c r="AC45" s="57"/>
      <c r="AD45" s="57"/>
      <c r="AE45" s="57"/>
      <c r="AF45" s="57"/>
    </row>
    <row r="46" spans="1:32" ht="15" customHeight="1" x14ac:dyDescent="0.2">
      <c r="A46" s="617" t="str">
        <f>IF(Income!A61="Other: Please enter description","Not in use",Income!A61)</f>
        <v>Not in use</v>
      </c>
      <c r="B46" s="728"/>
      <c r="C46" s="728"/>
      <c r="D46" s="773">
        <f>Income!D61</f>
        <v>0</v>
      </c>
      <c r="E46" s="775">
        <f>SUM(D32:D46)</f>
        <v>17628</v>
      </c>
      <c r="F46" s="978" t="str">
        <f t="shared" si="2"/>
        <v/>
      </c>
      <c r="I46" s="988">
        <f t="shared" si="3"/>
        <v>0</v>
      </c>
      <c r="L46" s="412"/>
      <c r="M46" s="412"/>
      <c r="N46" s="412"/>
      <c r="O46" s="412"/>
      <c r="P46" s="412"/>
      <c r="Q46" s="412"/>
      <c r="R46" s="412"/>
      <c r="S46" s="412"/>
      <c r="T46" s="412"/>
      <c r="U46" s="412"/>
      <c r="V46" s="412"/>
      <c r="W46" s="412"/>
      <c r="X46" s="412"/>
      <c r="Y46" s="57"/>
      <c r="Z46" s="57"/>
      <c r="AA46" s="57"/>
      <c r="AB46" s="57"/>
      <c r="AC46" s="57"/>
      <c r="AD46" s="57"/>
      <c r="AE46" s="57"/>
      <c r="AF46" s="57"/>
    </row>
    <row r="47" spans="1:32" ht="11.25" customHeight="1" x14ac:dyDescent="0.2">
      <c r="A47" s="619"/>
      <c r="B47" s="725"/>
      <c r="C47" s="725"/>
      <c r="D47" s="725"/>
      <c r="E47" s="777"/>
      <c r="F47" s="980"/>
      <c r="G47" s="412"/>
      <c r="H47" s="412"/>
      <c r="J47" s="412"/>
      <c r="K47" s="412"/>
      <c r="L47" s="412"/>
      <c r="M47" s="412"/>
      <c r="N47" s="412"/>
      <c r="O47" s="412"/>
      <c r="P47" s="412"/>
      <c r="Q47" s="412"/>
      <c r="R47" s="412"/>
      <c r="S47" s="412"/>
      <c r="T47" s="412"/>
      <c r="U47" s="412"/>
      <c r="V47" s="412"/>
      <c r="W47" s="412"/>
      <c r="X47" s="412"/>
      <c r="Y47" s="57"/>
      <c r="Z47" s="57"/>
      <c r="AA47" s="57"/>
      <c r="AB47" s="57"/>
      <c r="AC47" s="57"/>
      <c r="AD47" s="57"/>
      <c r="AE47" s="57"/>
      <c r="AF47" s="57"/>
    </row>
    <row r="48" spans="1:32" ht="15" customHeight="1" x14ac:dyDescent="0.2">
      <c r="A48" s="614" t="str">
        <f>"Budget Brought Forward from "&amp;'Fin.Yr Lookups'!A16</f>
        <v>Budget Brought Forward from 2019-20</v>
      </c>
      <c r="B48" s="725"/>
      <c r="C48" s="725"/>
      <c r="D48" s="726"/>
      <c r="E48" s="727"/>
      <c r="F48" s="981"/>
      <c r="G48" s="412"/>
      <c r="H48" s="412"/>
      <c r="J48" s="412"/>
      <c r="K48" s="412"/>
      <c r="L48" s="412"/>
      <c r="M48" s="412"/>
      <c r="N48" s="412"/>
      <c r="O48" s="412"/>
      <c r="P48" s="412"/>
      <c r="Q48" s="412"/>
      <c r="R48" s="412"/>
      <c r="S48" s="412"/>
      <c r="T48" s="412"/>
      <c r="U48" s="412"/>
      <c r="V48" s="412"/>
      <c r="W48" s="412"/>
      <c r="X48" s="412"/>
      <c r="Y48" s="57"/>
      <c r="Z48" s="57"/>
      <c r="AA48" s="57"/>
      <c r="AB48" s="57"/>
      <c r="AC48" s="57"/>
      <c r="AD48" s="57"/>
      <c r="AE48" s="57"/>
      <c r="AF48" s="57"/>
    </row>
    <row r="49" spans="1:32" ht="15" customHeight="1" x14ac:dyDescent="0.2">
      <c r="A49" s="621" t="str">
        <f>"Earmarked: Staffing in "&amp;'Fin.Yr Lookups'!A5</f>
        <v>Earmarked: Staffing in 2020-21</v>
      </c>
      <c r="B49" s="736"/>
      <c r="C49" s="736"/>
      <c r="D49" s="773">
        <f>Income!D8</f>
        <v>0</v>
      </c>
      <c r="E49" s="727"/>
      <c r="F49" s="981"/>
      <c r="G49" s="412"/>
      <c r="H49" s="412"/>
      <c r="J49" s="412"/>
      <c r="K49" s="412"/>
      <c r="L49" s="412"/>
      <c r="M49" s="412"/>
      <c r="N49" s="412"/>
      <c r="O49" s="412"/>
      <c r="P49" s="412"/>
      <c r="Q49" s="412"/>
      <c r="R49" s="412"/>
      <c r="S49" s="412"/>
      <c r="T49" s="412"/>
      <c r="U49" s="412"/>
      <c r="V49" s="412"/>
      <c r="W49" s="412"/>
      <c r="X49" s="412"/>
    </row>
    <row r="50" spans="1:32" ht="15" customHeight="1" x14ac:dyDescent="0.2">
      <c r="A50" s="617" t="s">
        <v>698</v>
      </c>
      <c r="B50" s="728"/>
      <c r="C50" s="728"/>
      <c r="D50" s="778">
        <f>Income!D9</f>
        <v>0</v>
      </c>
      <c r="E50" s="727"/>
      <c r="F50" s="981"/>
      <c r="G50" s="412"/>
      <c r="H50" s="412"/>
      <c r="J50" s="412"/>
      <c r="K50" s="412"/>
      <c r="L50" s="412"/>
      <c r="M50" s="412"/>
      <c r="N50" s="412"/>
      <c r="O50" s="412"/>
      <c r="P50" s="412"/>
      <c r="Q50" s="412"/>
      <c r="R50" s="412"/>
      <c r="S50" s="412"/>
      <c r="T50" s="412"/>
      <c r="U50" s="412"/>
      <c r="V50" s="412"/>
      <c r="W50" s="412"/>
      <c r="X50" s="412"/>
    </row>
    <row r="51" spans="1:32" ht="15" customHeight="1" x14ac:dyDescent="0.2">
      <c r="A51" s="617" t="s">
        <v>186</v>
      </c>
      <c r="B51" s="728"/>
      <c r="C51" s="728"/>
      <c r="D51" s="778">
        <f>Income!D10</f>
        <v>9826</v>
      </c>
      <c r="E51" s="727"/>
      <c r="F51" s="1023"/>
      <c r="G51" s="1024"/>
      <c r="H51" s="1024"/>
      <c r="J51" s="412"/>
      <c r="K51" s="412"/>
      <c r="L51" s="412"/>
      <c r="M51" s="412"/>
      <c r="N51" s="412"/>
      <c r="O51" s="412"/>
      <c r="P51" s="412"/>
      <c r="Q51" s="412"/>
      <c r="R51" s="412"/>
      <c r="S51" s="412"/>
      <c r="T51" s="412"/>
      <c r="U51" s="412"/>
      <c r="V51" s="412"/>
      <c r="W51" s="412"/>
      <c r="X51" s="412"/>
    </row>
    <row r="52" spans="1:32" ht="15" customHeight="1" x14ac:dyDescent="0.2">
      <c r="A52" s="615" t="str">
        <f>"Earmarked: To balance the "&amp;'Fin.Yr Lookups'!A5&amp;" Budget"</f>
        <v>Earmarked: To balance the 2020-21 Budget</v>
      </c>
      <c r="B52" s="728"/>
      <c r="C52" s="728"/>
      <c r="D52" s="778">
        <f>SUM(Income!D11:D13)</f>
        <v>52354</v>
      </c>
      <c r="E52" s="727"/>
      <c r="F52" s="1023"/>
      <c r="G52" s="1024"/>
      <c r="H52" s="1024"/>
      <c r="J52" s="412"/>
      <c r="K52" s="412"/>
      <c r="L52" s="412"/>
      <c r="M52" s="412"/>
      <c r="N52" s="412"/>
      <c r="O52" s="412"/>
      <c r="P52" s="412"/>
      <c r="Q52" s="412"/>
      <c r="R52" s="412"/>
      <c r="S52" s="412"/>
      <c r="T52" s="412"/>
      <c r="U52" s="412"/>
      <c r="V52" s="412"/>
      <c r="W52" s="412"/>
      <c r="X52" s="412"/>
    </row>
    <row r="53" spans="1:32" ht="15" customHeight="1" x14ac:dyDescent="0.2">
      <c r="A53" s="616" t="str">
        <f>"Earmarked: for use after "&amp;'Fin.Yr Lookups'!A5</f>
        <v>Earmarked: for use after 2020-21</v>
      </c>
      <c r="B53" s="736"/>
      <c r="C53" s="736"/>
      <c r="D53" s="773">
        <f>SUM(Income!D14:D16)</f>
        <v>0</v>
      </c>
      <c r="E53" s="727"/>
      <c r="F53" s="1023"/>
      <c r="G53" s="1024"/>
      <c r="H53" s="1024"/>
      <c r="J53" s="412"/>
      <c r="K53" s="412"/>
      <c r="L53" s="412"/>
      <c r="M53" s="412"/>
      <c r="N53" s="412"/>
      <c r="O53" s="412"/>
      <c r="P53" s="412"/>
      <c r="Q53" s="412"/>
      <c r="R53" s="412"/>
      <c r="S53" s="412"/>
      <c r="T53" s="412"/>
      <c r="U53" s="412"/>
      <c r="V53" s="412"/>
      <c r="W53" s="412"/>
      <c r="X53" s="412"/>
    </row>
    <row r="54" spans="1:32" ht="15" customHeight="1" x14ac:dyDescent="0.2">
      <c r="A54" s="779"/>
      <c r="B54" s="780"/>
      <c r="C54" s="780"/>
      <c r="D54" s="725"/>
      <c r="E54" s="775">
        <f>Income!E16</f>
        <v>62180</v>
      </c>
      <c r="F54" s="1023"/>
      <c r="G54" s="1024"/>
      <c r="H54" s="1024"/>
      <c r="J54" s="412"/>
      <c r="K54" s="412"/>
      <c r="L54" s="412"/>
      <c r="M54" s="412"/>
      <c r="N54" s="412"/>
      <c r="O54" s="412"/>
      <c r="P54" s="412"/>
      <c r="Q54" s="412"/>
      <c r="R54" s="412"/>
      <c r="S54" s="412"/>
      <c r="T54" s="412"/>
      <c r="U54" s="412"/>
      <c r="V54" s="412"/>
      <c r="W54" s="412"/>
      <c r="X54" s="412"/>
    </row>
    <row r="55" spans="1:32" ht="9" customHeight="1" x14ac:dyDescent="0.2">
      <c r="A55" s="614"/>
      <c r="B55" s="780"/>
      <c r="C55" s="780"/>
      <c r="D55" s="780"/>
      <c r="E55" s="727"/>
      <c r="F55" s="1023"/>
      <c r="G55" s="1024"/>
      <c r="H55" s="1024"/>
      <c r="J55" s="412"/>
      <c r="K55" s="412"/>
      <c r="L55" s="412"/>
      <c r="M55" s="412"/>
      <c r="N55" s="412"/>
      <c r="O55" s="412"/>
      <c r="P55" s="412"/>
      <c r="Q55" s="412"/>
      <c r="R55" s="412"/>
      <c r="S55" s="412"/>
      <c r="T55" s="412"/>
      <c r="U55" s="412"/>
      <c r="V55" s="412"/>
      <c r="W55" s="412"/>
      <c r="X55" s="412"/>
    </row>
    <row r="56" spans="1:32" s="42" customFormat="1" ht="15" customHeight="1" thickBot="1" x14ac:dyDescent="0.25">
      <c r="A56" s="781" t="s">
        <v>535</v>
      </c>
      <c r="B56" s="782"/>
      <c r="C56" s="782"/>
      <c r="D56" s="782"/>
      <c r="E56" s="757">
        <f>SUM(E18:E54)</f>
        <v>556541</v>
      </c>
      <c r="F56" s="976"/>
      <c r="G56" s="412"/>
      <c r="H56" s="412"/>
      <c r="I56" s="988"/>
      <c r="J56" s="412"/>
      <c r="K56" s="412"/>
      <c r="L56" s="412"/>
      <c r="M56" s="412"/>
      <c r="N56" s="412"/>
      <c r="O56" s="412"/>
      <c r="P56" s="412"/>
      <c r="Q56" s="412"/>
      <c r="R56" s="412"/>
      <c r="S56" s="412"/>
      <c r="T56" s="412"/>
      <c r="U56" s="412"/>
      <c r="V56" s="412"/>
      <c r="W56" s="412"/>
      <c r="X56" s="412"/>
      <c r="Y56" s="44"/>
      <c r="Z56" s="44"/>
      <c r="AA56" s="44"/>
      <c r="AB56" s="44"/>
      <c r="AC56" s="44"/>
      <c r="AD56" s="44"/>
      <c r="AE56" s="44"/>
      <c r="AF56" s="44"/>
    </row>
    <row r="57" spans="1:32" s="42" customFormat="1" ht="3" customHeight="1" thickBot="1" x14ac:dyDescent="0.25">
      <c r="A57" s="781"/>
      <c r="B57" s="782"/>
      <c r="C57" s="782"/>
      <c r="D57" s="782"/>
      <c r="E57" s="783"/>
      <c r="F57" s="980"/>
      <c r="G57" s="412"/>
      <c r="H57" s="412"/>
      <c r="I57" s="988"/>
      <c r="J57" s="412"/>
      <c r="K57" s="412"/>
      <c r="L57" s="412"/>
      <c r="M57" s="412"/>
      <c r="N57" s="412"/>
      <c r="O57" s="412"/>
      <c r="P57" s="412"/>
      <c r="Q57" s="412"/>
      <c r="R57" s="412"/>
      <c r="S57" s="412"/>
      <c r="T57" s="412"/>
      <c r="U57" s="412"/>
      <c r="V57" s="412"/>
      <c r="W57" s="412"/>
      <c r="X57" s="412"/>
      <c r="Y57" s="44"/>
      <c r="Z57" s="44"/>
      <c r="AA57" s="44"/>
      <c r="AB57" s="44"/>
      <c r="AC57" s="44"/>
      <c r="AD57" s="44"/>
      <c r="AE57" s="44"/>
      <c r="AF57" s="44"/>
    </row>
    <row r="58" spans="1:32" ht="54" hidden="1" customHeight="1" thickBot="1" x14ac:dyDescent="0.25">
      <c r="A58" s="614"/>
      <c r="B58" s="780"/>
      <c r="C58" s="780"/>
      <c r="D58" s="780"/>
      <c r="E58" s="727"/>
      <c r="F58" s="980"/>
      <c r="G58" s="412"/>
      <c r="H58" s="412"/>
      <c r="J58" s="412"/>
      <c r="K58" s="412"/>
      <c r="L58" s="412"/>
      <c r="M58" s="412"/>
      <c r="N58" s="412"/>
      <c r="O58" s="412"/>
      <c r="P58" s="412"/>
      <c r="Q58" s="412"/>
      <c r="R58" s="412"/>
      <c r="S58" s="412"/>
      <c r="T58" s="412"/>
      <c r="U58" s="412"/>
      <c r="V58" s="412"/>
      <c r="W58" s="412"/>
      <c r="X58" s="412"/>
    </row>
    <row r="59" spans="1:32" ht="18" customHeight="1" x14ac:dyDescent="0.2">
      <c r="A59" s="784" t="s">
        <v>532</v>
      </c>
      <c r="B59" s="785"/>
      <c r="C59" s="785"/>
      <c r="D59" s="786"/>
      <c r="E59" s="787" t="s">
        <v>531</v>
      </c>
      <c r="F59" s="980"/>
      <c r="G59" s="412"/>
      <c r="H59" s="412"/>
      <c r="J59" s="412"/>
      <c r="K59" s="412"/>
      <c r="L59" s="412"/>
      <c r="M59" s="412"/>
      <c r="N59" s="412"/>
      <c r="O59" s="412"/>
      <c r="P59" s="412"/>
      <c r="Q59" s="412"/>
      <c r="R59" s="412"/>
      <c r="S59" s="412"/>
      <c r="T59" s="412"/>
      <c r="U59" s="412"/>
      <c r="V59" s="412"/>
      <c r="W59" s="412"/>
      <c r="X59" s="412"/>
    </row>
    <row r="60" spans="1:32" ht="18" customHeight="1" x14ac:dyDescent="0.2">
      <c r="A60" s="721" t="s">
        <v>426</v>
      </c>
      <c r="B60" s="579">
        <f>Expenditure!F17</f>
        <v>266467</v>
      </c>
      <c r="C60" s="725"/>
      <c r="D60" s="723" t="str">
        <f>IF(Expenditure!A320="Curriculum: Add Cost Centre Description Here","Curriculum: not in use",Expenditure!A320)</f>
        <v>Curriculum: not in use</v>
      </c>
      <c r="E60" s="788">
        <f>Expenditure!F323</f>
        <v>0</v>
      </c>
      <c r="F60" s="972" t="str">
        <f>IF(I60&gt;0,"Please enter a description in column A on the Expenditure sheet","")</f>
        <v/>
      </c>
      <c r="G60" s="412"/>
      <c r="H60" s="412"/>
      <c r="I60" s="987">
        <f>IF(AND(E60&lt;&gt;0,D60="Curriculum: not in use"),2,0)</f>
        <v>0</v>
      </c>
      <c r="J60" s="412"/>
      <c r="K60" s="412"/>
      <c r="L60" s="412"/>
      <c r="M60" s="412"/>
      <c r="N60" s="412"/>
      <c r="O60" s="412"/>
      <c r="P60" s="412"/>
      <c r="Q60" s="412"/>
      <c r="R60" s="412"/>
      <c r="S60" s="412"/>
      <c r="T60" s="412"/>
      <c r="U60" s="412"/>
      <c r="V60" s="412"/>
      <c r="W60" s="412"/>
      <c r="X60" s="412"/>
    </row>
    <row r="61" spans="1:32" ht="18" customHeight="1" x14ac:dyDescent="0.2">
      <c r="A61" s="722" t="s">
        <v>723</v>
      </c>
      <c r="B61" s="578">
        <f>Expenditure!F24</f>
        <v>3808</v>
      </c>
      <c r="C61" s="725"/>
      <c r="D61" s="724" t="s">
        <v>505</v>
      </c>
      <c r="E61" s="730">
        <f>Expenditure!F328</f>
        <v>167</v>
      </c>
      <c r="F61" s="972"/>
      <c r="G61" s="412"/>
      <c r="H61" s="412"/>
      <c r="I61" s="987"/>
      <c r="J61" s="412"/>
      <c r="K61" s="412"/>
      <c r="L61" s="412"/>
      <c r="M61" s="412"/>
      <c r="N61" s="412"/>
      <c r="O61" s="412"/>
      <c r="P61" s="412"/>
      <c r="Q61" s="412"/>
      <c r="R61" s="412"/>
      <c r="S61" s="412"/>
      <c r="T61" s="412"/>
      <c r="U61" s="412"/>
      <c r="V61" s="412"/>
      <c r="W61" s="412"/>
      <c r="X61" s="412"/>
    </row>
    <row r="62" spans="1:32" ht="18" customHeight="1" x14ac:dyDescent="0.2">
      <c r="A62" s="721" t="s">
        <v>434</v>
      </c>
      <c r="B62" s="579">
        <f>Expenditure!F34</f>
        <v>32930</v>
      </c>
      <c r="C62" s="725"/>
      <c r="D62" s="723" t="s">
        <v>506</v>
      </c>
      <c r="E62" s="727">
        <f>Expenditure!F333</f>
        <v>0</v>
      </c>
      <c r="F62" s="972"/>
      <c r="G62" s="412"/>
      <c r="H62" s="412"/>
      <c r="I62" s="987"/>
      <c r="J62" s="412"/>
      <c r="K62" s="412"/>
      <c r="L62" s="412"/>
      <c r="M62" s="412"/>
      <c r="N62" s="412"/>
      <c r="O62" s="412"/>
      <c r="P62" s="412"/>
      <c r="Q62" s="412"/>
      <c r="R62" s="412"/>
      <c r="S62" s="412"/>
      <c r="T62" s="412"/>
      <c r="U62" s="412"/>
      <c r="V62" s="412"/>
      <c r="W62" s="412"/>
      <c r="X62" s="412"/>
    </row>
    <row r="63" spans="1:32" ht="18" customHeight="1" x14ac:dyDescent="0.2">
      <c r="A63" s="722" t="s">
        <v>630</v>
      </c>
      <c r="B63" s="578">
        <f>Expenditure!F40</f>
        <v>0</v>
      </c>
      <c r="C63" s="725"/>
      <c r="D63" s="723" t="str">
        <f>IF(Expenditure!A335="Transport: Add Cost Centre Description Here","Transport: not in use",Expenditure!A335)</f>
        <v>Transport: not in use</v>
      </c>
      <c r="E63" s="788">
        <f>Expenditure!F338</f>
        <v>0</v>
      </c>
      <c r="F63" s="972" t="str">
        <f>IF(I63&gt;0,"Please enter a description in column A on the Expenditure sheet","")</f>
        <v/>
      </c>
      <c r="G63" s="412"/>
      <c r="H63" s="412"/>
      <c r="I63" s="987">
        <f>IF(AND(E63&lt;&gt;0,D63="Transport: not in use"),2,0)</f>
        <v>0</v>
      </c>
      <c r="J63" s="412"/>
      <c r="K63" s="412"/>
      <c r="L63" s="412"/>
      <c r="M63" s="412"/>
      <c r="N63" s="412"/>
      <c r="O63" s="412"/>
      <c r="P63" s="412"/>
      <c r="Q63" s="412"/>
      <c r="R63" s="412"/>
      <c r="S63" s="412"/>
      <c r="T63" s="412"/>
      <c r="U63" s="412"/>
      <c r="V63" s="412"/>
      <c r="W63" s="412"/>
      <c r="X63" s="412"/>
    </row>
    <row r="64" spans="1:32" ht="18" customHeight="1" x14ac:dyDescent="0.2">
      <c r="A64" s="721" t="s">
        <v>444</v>
      </c>
      <c r="B64" s="579">
        <f>Expenditure!F75</f>
        <v>53286</v>
      </c>
      <c r="C64" s="725"/>
      <c r="D64" s="723" t="str">
        <f>IF(Expenditure!A340="Transport: Add Cost Centre Description Here","Transport: not in use",Expenditure!A340)</f>
        <v>Transport: not in use</v>
      </c>
      <c r="E64" s="788">
        <f>Expenditure!F343</f>
        <v>0</v>
      </c>
      <c r="F64" s="972" t="str">
        <f>IF(I64&gt;0,"Please enter a description in column A on the Expenditure sheet","")</f>
        <v/>
      </c>
      <c r="G64" s="412"/>
      <c r="H64" s="412"/>
      <c r="I64" s="987">
        <f>IF(AND(E64&lt;&gt;0,D64="Transport: not in use"),2,0)</f>
        <v>0</v>
      </c>
      <c r="J64" s="412"/>
      <c r="K64" s="412"/>
      <c r="L64" s="412"/>
      <c r="M64" s="412"/>
      <c r="N64" s="412"/>
      <c r="O64" s="412"/>
      <c r="P64" s="412"/>
      <c r="Q64" s="412"/>
      <c r="R64" s="412"/>
      <c r="S64" s="412"/>
      <c r="T64" s="412"/>
      <c r="U64" s="412"/>
      <c r="V64" s="412"/>
      <c r="W64" s="412"/>
      <c r="X64" s="412"/>
    </row>
    <row r="65" spans="1:32" ht="18" customHeight="1" x14ac:dyDescent="0.2">
      <c r="A65" s="722" t="s">
        <v>449</v>
      </c>
      <c r="B65" s="578">
        <f>Expenditure!F81</f>
        <v>0</v>
      </c>
      <c r="C65" s="725"/>
      <c r="D65" s="724" t="s">
        <v>507</v>
      </c>
      <c r="E65" s="730">
        <f>Expenditure!F361</f>
        <v>865</v>
      </c>
      <c r="F65" s="972"/>
      <c r="G65" s="412"/>
      <c r="H65" s="412"/>
      <c r="I65" s="987"/>
      <c r="J65" s="412"/>
      <c r="K65" s="412"/>
      <c r="L65" s="412"/>
      <c r="M65" s="412"/>
      <c r="N65" s="412"/>
      <c r="O65" s="412"/>
      <c r="P65" s="412"/>
      <c r="Q65" s="412"/>
      <c r="R65" s="412"/>
      <c r="S65" s="412"/>
      <c r="T65" s="412"/>
      <c r="U65" s="412"/>
      <c r="V65" s="412"/>
      <c r="W65" s="412"/>
      <c r="X65" s="412"/>
      <c r="Y65" s="57"/>
      <c r="Z65" s="57"/>
      <c r="AA65" s="57"/>
      <c r="AB65" s="57"/>
      <c r="AC65" s="57"/>
      <c r="AD65" s="57"/>
      <c r="AE65" s="57"/>
      <c r="AF65" s="57"/>
    </row>
    <row r="66" spans="1:32" ht="18" customHeight="1" x14ac:dyDescent="0.2">
      <c r="A66" s="721" t="s">
        <v>454</v>
      </c>
      <c r="B66" s="579">
        <f>Expenditure!F94</f>
        <v>14535</v>
      </c>
      <c r="C66" s="725"/>
      <c r="D66" s="723" t="s">
        <v>511</v>
      </c>
      <c r="E66" s="748">
        <f>Expenditure!F366</f>
        <v>1246</v>
      </c>
      <c r="F66" s="972"/>
      <c r="G66" s="412"/>
      <c r="H66" s="412"/>
      <c r="I66" s="987"/>
      <c r="J66" s="412"/>
      <c r="K66" s="412"/>
      <c r="L66" s="412"/>
      <c r="M66" s="412"/>
      <c r="N66" s="412"/>
      <c r="O66" s="412"/>
      <c r="P66" s="412"/>
      <c r="Q66" s="412"/>
      <c r="R66" s="412"/>
      <c r="S66" s="412"/>
      <c r="T66" s="412"/>
      <c r="U66" s="412"/>
      <c r="V66" s="412"/>
      <c r="W66" s="412"/>
      <c r="X66" s="412"/>
      <c r="Y66" s="57"/>
      <c r="Z66" s="57"/>
      <c r="AA66" s="57"/>
      <c r="AB66" s="57"/>
      <c r="AC66" s="57"/>
      <c r="AD66" s="57"/>
      <c r="AE66" s="57"/>
      <c r="AF66" s="57"/>
    </row>
    <row r="67" spans="1:32" ht="18" customHeight="1" x14ac:dyDescent="0.2">
      <c r="A67" s="722" t="s">
        <v>462</v>
      </c>
      <c r="B67" s="578">
        <f>Expenditure!F104</f>
        <v>7538</v>
      </c>
      <c r="C67" s="725"/>
      <c r="D67" s="724" t="s">
        <v>513</v>
      </c>
      <c r="E67" s="730">
        <f>Expenditure!F372</f>
        <v>2425</v>
      </c>
      <c r="F67" s="972"/>
      <c r="G67" s="412"/>
      <c r="H67" s="412"/>
      <c r="I67" s="987"/>
      <c r="J67" s="412"/>
      <c r="K67" s="412"/>
      <c r="L67" s="412"/>
      <c r="M67" s="412"/>
      <c r="N67" s="412"/>
      <c r="O67" s="412"/>
      <c r="P67" s="412"/>
      <c r="Q67" s="412"/>
      <c r="R67" s="412"/>
      <c r="S67" s="412"/>
      <c r="T67" s="412"/>
      <c r="U67" s="412"/>
      <c r="V67" s="412"/>
      <c r="W67" s="412"/>
      <c r="X67" s="412"/>
      <c r="Y67" s="57"/>
      <c r="Z67" s="57"/>
      <c r="AA67" s="57"/>
      <c r="AB67" s="57"/>
      <c r="AC67" s="57"/>
      <c r="AD67" s="57"/>
      <c r="AE67" s="57"/>
      <c r="AF67" s="57"/>
    </row>
    <row r="68" spans="1:32" ht="18" customHeight="1" x14ac:dyDescent="0.2">
      <c r="A68" s="721" t="s">
        <v>639</v>
      </c>
      <c r="B68" s="579">
        <f>Expenditure!F110</f>
        <v>20702</v>
      </c>
      <c r="C68" s="725"/>
      <c r="D68" s="723" t="str">
        <f>IF(Expenditure!A374="Administration: Add Cost Centre Description Here","Administrative: not in use",Expenditure!A374)</f>
        <v>Administrative: not in use</v>
      </c>
      <c r="E68" s="788">
        <f>Expenditure!F377</f>
        <v>0</v>
      </c>
      <c r="F68" s="972" t="str">
        <f t="shared" ref="F68:F79" si="4">IF(I68&gt;0,"Please enter a description in column A on the Expenditure sheet","")</f>
        <v/>
      </c>
      <c r="G68" s="412"/>
      <c r="H68" s="412"/>
      <c r="I68" s="987">
        <f>IF(AND(E68&lt;&gt;0,D68="Administrative: not in use"),2,0)</f>
        <v>0</v>
      </c>
      <c r="J68" s="412"/>
      <c r="K68" s="412"/>
      <c r="L68" s="412"/>
      <c r="M68" s="412"/>
      <c r="N68" s="412"/>
      <c r="O68" s="412"/>
      <c r="P68" s="412"/>
      <c r="Q68" s="412"/>
      <c r="R68" s="412"/>
      <c r="S68" s="412"/>
      <c r="T68" s="412"/>
      <c r="U68" s="412"/>
      <c r="V68" s="412"/>
      <c r="W68" s="412"/>
      <c r="X68" s="412"/>
      <c r="Y68" s="57"/>
      <c r="Z68" s="57"/>
      <c r="AA68" s="57"/>
      <c r="AB68" s="57"/>
      <c r="AC68" s="57"/>
      <c r="AD68" s="57"/>
      <c r="AE68" s="57"/>
      <c r="AF68" s="57"/>
    </row>
    <row r="69" spans="1:32" ht="18" customHeight="1" x14ac:dyDescent="0.2">
      <c r="A69" s="722" t="s">
        <v>696</v>
      </c>
      <c r="B69" s="578">
        <f>Expenditure!F119</f>
        <v>0</v>
      </c>
      <c r="C69" s="725"/>
      <c r="D69" s="723" t="str">
        <f>IF(Expenditure!A379="Administration: Add Cost Centre Description Here","Administrative: not in use",Expenditure!A379)</f>
        <v>Administrative: not in use</v>
      </c>
      <c r="E69" s="788">
        <f>Expenditure!F382</f>
        <v>0</v>
      </c>
      <c r="F69" s="972" t="str">
        <f t="shared" si="4"/>
        <v/>
      </c>
      <c r="G69" s="412"/>
      <c r="H69" s="412"/>
      <c r="I69" s="987">
        <f t="shared" ref="I69:I71" si="5">IF(AND(E69&lt;&gt;0,D69="Administrative: not in use"),2,0)</f>
        <v>0</v>
      </c>
      <c r="J69" s="412"/>
      <c r="K69" s="412"/>
      <c r="L69" s="412"/>
      <c r="M69" s="412"/>
      <c r="N69" s="412"/>
      <c r="O69" s="412"/>
      <c r="P69" s="412"/>
      <c r="Q69" s="412"/>
      <c r="R69" s="412"/>
      <c r="S69" s="412"/>
      <c r="T69" s="412"/>
      <c r="U69" s="412"/>
      <c r="V69" s="412"/>
      <c r="W69" s="412"/>
      <c r="X69" s="412"/>
      <c r="Y69" s="57"/>
      <c r="Z69" s="57"/>
      <c r="AA69" s="57"/>
      <c r="AB69" s="57"/>
      <c r="AC69" s="57"/>
      <c r="AD69" s="57"/>
      <c r="AE69" s="57"/>
      <c r="AF69" s="57"/>
    </row>
    <row r="70" spans="1:32" ht="18" customHeight="1" x14ac:dyDescent="0.2">
      <c r="A70" s="722" t="s">
        <v>463</v>
      </c>
      <c r="B70" s="579">
        <f>Expenditure!F124</f>
        <v>8935</v>
      </c>
      <c r="C70" s="725"/>
      <c r="D70" s="723" t="str">
        <f>IF(Expenditure!A384="Administration: Add Cost Centre Description Here","Administrative: not in use",Expenditure!A384)</f>
        <v>Administrative: not in use</v>
      </c>
      <c r="E70" s="788">
        <f>Expenditure!F387</f>
        <v>0</v>
      </c>
      <c r="F70" s="972" t="str">
        <f t="shared" si="4"/>
        <v/>
      </c>
      <c r="G70" s="412"/>
      <c r="H70" s="412"/>
      <c r="I70" s="987">
        <f t="shared" si="5"/>
        <v>0</v>
      </c>
      <c r="J70" s="412"/>
      <c r="K70" s="412"/>
      <c r="L70" s="412"/>
      <c r="M70" s="412"/>
      <c r="N70" s="412"/>
      <c r="O70" s="412"/>
      <c r="P70" s="412"/>
      <c r="Q70" s="412"/>
      <c r="R70" s="412"/>
      <c r="S70" s="412"/>
      <c r="T70" s="412"/>
      <c r="U70" s="412"/>
      <c r="V70" s="412"/>
      <c r="W70" s="412"/>
      <c r="X70" s="412"/>
      <c r="Y70" s="57"/>
      <c r="Z70" s="57"/>
      <c r="AA70" s="57"/>
      <c r="AB70" s="57"/>
      <c r="AC70" s="57"/>
      <c r="AD70" s="57"/>
      <c r="AE70" s="57"/>
      <c r="AF70" s="57"/>
    </row>
    <row r="71" spans="1:32" ht="18" customHeight="1" x14ac:dyDescent="0.2">
      <c r="A71" s="721" t="s">
        <v>465</v>
      </c>
      <c r="B71" s="578">
        <f>Expenditure!F138</f>
        <v>3749</v>
      </c>
      <c r="C71" s="725"/>
      <c r="D71" s="723" t="str">
        <f>IF(Expenditure!A389="Administration: Add Cost Centre Description Here","Administrative: not in use",Expenditure!A389)</f>
        <v>Administrative: not in use</v>
      </c>
      <c r="E71" s="788">
        <f>Expenditure!F392</f>
        <v>0</v>
      </c>
      <c r="F71" s="972" t="str">
        <f t="shared" si="4"/>
        <v/>
      </c>
      <c r="G71" s="412"/>
      <c r="H71" s="412"/>
      <c r="I71" s="987">
        <f t="shared" si="5"/>
        <v>0</v>
      </c>
      <c r="J71" s="412"/>
      <c r="K71" s="412"/>
      <c r="L71" s="412"/>
      <c r="M71" s="412"/>
      <c r="N71" s="412"/>
      <c r="O71" s="412"/>
      <c r="P71" s="412"/>
      <c r="Q71" s="412"/>
      <c r="R71" s="412"/>
      <c r="S71" s="412"/>
      <c r="T71" s="412"/>
      <c r="U71" s="412"/>
      <c r="V71" s="412"/>
      <c r="W71" s="412"/>
      <c r="X71" s="412"/>
      <c r="Y71" s="57"/>
      <c r="Z71" s="57"/>
      <c r="AA71" s="57"/>
      <c r="AB71" s="57"/>
      <c r="AC71" s="57"/>
      <c r="AD71" s="57"/>
      <c r="AE71" s="57"/>
      <c r="AF71" s="57"/>
    </row>
    <row r="72" spans="1:32" ht="18" customHeight="1" x14ac:dyDescent="0.2">
      <c r="A72" s="722" t="str">
        <f>IF(Expenditure!A140="Staffing: Add Cost Centre Description Here","Staffing: not in use",Expenditure!A140)</f>
        <v>PE Instructor</v>
      </c>
      <c r="B72" s="578">
        <f>Expenditure!F143</f>
        <v>9008</v>
      </c>
      <c r="C72" s="725"/>
      <c r="D72" s="723" t="str">
        <f>IF(Expenditure!A394="Administration: Add Cost Centre Description Here","Administrative: not in use",Expenditure!A394)</f>
        <v>Administrative: not in use</v>
      </c>
      <c r="E72" s="788">
        <f>Expenditure!F397</f>
        <v>0</v>
      </c>
      <c r="F72" s="972" t="str">
        <f t="shared" si="4"/>
        <v/>
      </c>
      <c r="G72" s="412"/>
      <c r="H72" s="412"/>
      <c r="I72" s="987">
        <f>IF(AND(A72="Staffing: not in use",B72&lt;&gt;0),1,0)+IF(AND(E72&lt;&gt;0,D72="Administrative: not in use"),2,0)</f>
        <v>0</v>
      </c>
      <c r="J72" s="412"/>
      <c r="K72" s="412"/>
      <c r="L72" s="412"/>
      <c r="M72" s="412"/>
      <c r="N72" s="412"/>
      <c r="O72" s="412"/>
      <c r="P72" s="412"/>
      <c r="Q72" s="412"/>
      <c r="R72" s="412"/>
      <c r="S72" s="412"/>
      <c r="T72" s="412"/>
      <c r="U72" s="412"/>
      <c r="V72" s="412"/>
      <c r="W72" s="412"/>
      <c r="X72" s="412"/>
      <c r="Y72" s="57"/>
      <c r="Z72" s="57"/>
      <c r="AA72" s="57"/>
      <c r="AB72" s="57"/>
      <c r="AC72" s="57"/>
      <c r="AD72" s="57"/>
      <c r="AE72" s="57"/>
      <c r="AF72" s="57"/>
    </row>
    <row r="73" spans="1:32" ht="18" customHeight="1" x14ac:dyDescent="0.2">
      <c r="A73" s="722" t="str">
        <f>IF(Expenditure!A145="Staffing: Add Cost Centre Description Here","Staffing: not in use",Expenditure!A145)</f>
        <v>Breakfast Club Instructor</v>
      </c>
      <c r="B73" s="578">
        <f>Expenditure!F148</f>
        <v>4026</v>
      </c>
      <c r="C73" s="725"/>
      <c r="D73" s="723" t="str">
        <f>IF(Expenditure!A399="Administration: Add Cost Centre Description Here","Administrative: not in use",Expenditure!A399)</f>
        <v>Administrative: not in use</v>
      </c>
      <c r="E73" s="788">
        <f>Expenditure!F402</f>
        <v>0</v>
      </c>
      <c r="F73" s="972" t="str">
        <f t="shared" si="4"/>
        <v/>
      </c>
      <c r="G73" s="412"/>
      <c r="H73" s="412"/>
      <c r="I73" s="987">
        <f>IF(AND(A73="Staffing: not in use",B73&lt;&gt;0),1,0)+IF(AND(E73&lt;&gt;0,D73="Administrative: not in use"),2,0)</f>
        <v>0</v>
      </c>
      <c r="J73" s="412"/>
      <c r="K73" s="412"/>
      <c r="L73" s="412"/>
      <c r="M73" s="412"/>
      <c r="N73" s="412"/>
      <c r="O73" s="412"/>
      <c r="P73" s="412"/>
      <c r="Q73" s="412"/>
      <c r="R73" s="412"/>
      <c r="S73" s="412"/>
      <c r="T73" s="412"/>
      <c r="U73" s="412"/>
      <c r="V73" s="412"/>
      <c r="W73" s="412"/>
      <c r="X73" s="412"/>
      <c r="Y73" s="57"/>
      <c r="Z73" s="57"/>
      <c r="AA73" s="57"/>
      <c r="AB73" s="57"/>
      <c r="AC73" s="57"/>
      <c r="AD73" s="57"/>
      <c r="AE73" s="57"/>
      <c r="AF73" s="57"/>
    </row>
    <row r="74" spans="1:32" ht="18" customHeight="1" x14ac:dyDescent="0.2">
      <c r="A74" s="722" t="str">
        <f>IF(Expenditure!A150="Staffing: Add Cost Centre Description Here","Staffing: not in use",Expenditure!A150)</f>
        <v>Staffing: not in use</v>
      </c>
      <c r="B74" s="578">
        <f>Expenditure!F153</f>
        <v>0</v>
      </c>
      <c r="C74" s="725"/>
      <c r="D74" s="724" t="s">
        <v>515</v>
      </c>
      <c r="E74" s="730">
        <f>Expenditure!F423</f>
        <v>23611</v>
      </c>
      <c r="F74" s="972" t="str">
        <f t="shared" si="4"/>
        <v/>
      </c>
      <c r="G74" s="412"/>
      <c r="H74" s="412"/>
      <c r="I74" s="987">
        <f>IF(AND(A74="Staffing: not in use",B74&lt;&gt;0),1,0)</f>
        <v>0</v>
      </c>
      <c r="J74" s="412"/>
      <c r="K74" s="412"/>
      <c r="L74" s="412"/>
      <c r="M74" s="412"/>
      <c r="N74" s="412"/>
      <c r="O74" s="412"/>
      <c r="P74" s="412"/>
      <c r="Q74" s="412"/>
      <c r="R74" s="412"/>
      <c r="S74" s="412"/>
      <c r="T74" s="412"/>
      <c r="U74" s="412"/>
      <c r="V74" s="412"/>
      <c r="W74" s="412"/>
      <c r="X74" s="412"/>
      <c r="Y74" s="57"/>
      <c r="Z74" s="57"/>
      <c r="AA74" s="57"/>
      <c r="AB74" s="57"/>
      <c r="AC74" s="57"/>
      <c r="AD74" s="57"/>
      <c r="AE74" s="57"/>
      <c r="AF74" s="57"/>
    </row>
    <row r="75" spans="1:32" ht="18" customHeight="1" x14ac:dyDescent="0.2">
      <c r="A75" s="722" t="str">
        <f>IF(Expenditure!A155="Staffing: Add Cost Centre Description Here","Staffing: not in use",Expenditure!A155)</f>
        <v>Staffing: not in use</v>
      </c>
      <c r="B75" s="578">
        <f>Expenditure!F158</f>
        <v>0</v>
      </c>
      <c r="C75" s="725"/>
      <c r="D75" s="723" t="s">
        <v>668</v>
      </c>
      <c r="E75" s="730">
        <f>Expenditure!F427</f>
        <v>2827</v>
      </c>
      <c r="F75" s="972" t="str">
        <f t="shared" si="4"/>
        <v/>
      </c>
      <c r="G75" s="412"/>
      <c r="H75" s="412"/>
      <c r="I75" s="987">
        <f t="shared" ref="I75:I79" si="6">IF(AND(A75="Staffing: not in use",B75&lt;&gt;0),1,0)+IF(AND(E75&lt;&gt;0,D75=""),2,0)</f>
        <v>0</v>
      </c>
      <c r="J75" s="412"/>
      <c r="K75" s="412"/>
      <c r="L75" s="412"/>
      <c r="M75" s="412"/>
      <c r="N75" s="412"/>
      <c r="O75" s="412"/>
      <c r="P75" s="412"/>
      <c r="Q75" s="412"/>
      <c r="R75" s="412"/>
      <c r="S75" s="412"/>
      <c r="T75" s="412"/>
      <c r="U75" s="412"/>
      <c r="V75" s="412"/>
      <c r="W75" s="412"/>
      <c r="X75" s="412"/>
      <c r="Y75" s="57"/>
      <c r="Z75" s="57"/>
      <c r="AA75" s="57"/>
      <c r="AB75" s="57"/>
      <c r="AC75" s="57"/>
      <c r="AD75" s="57"/>
      <c r="AE75" s="57"/>
      <c r="AF75" s="57"/>
    </row>
    <row r="76" spans="1:32" ht="18" customHeight="1" x14ac:dyDescent="0.2">
      <c r="A76" s="722" t="str">
        <f>IF(Expenditure!A160="Staffing: Add Cost Centre Description Here","Staffing: not in use",Expenditure!A160)</f>
        <v>Staffing: not in use</v>
      </c>
      <c r="B76" s="578">
        <f>Expenditure!F163</f>
        <v>0</v>
      </c>
      <c r="C76" s="725"/>
      <c r="D76" s="724" t="s">
        <v>517</v>
      </c>
      <c r="E76" s="730">
        <f>Expenditure!F429</f>
        <v>100</v>
      </c>
      <c r="F76" s="972" t="str">
        <f t="shared" si="4"/>
        <v/>
      </c>
      <c r="G76" s="412"/>
      <c r="H76" s="412"/>
      <c r="I76" s="987">
        <f t="shared" si="6"/>
        <v>0</v>
      </c>
      <c r="J76" s="412"/>
      <c r="K76" s="412"/>
      <c r="L76" s="412"/>
      <c r="M76" s="412"/>
      <c r="N76" s="412"/>
      <c r="O76" s="412"/>
      <c r="P76" s="412"/>
      <c r="Q76" s="412"/>
      <c r="R76" s="412"/>
      <c r="S76" s="412"/>
      <c r="T76" s="412"/>
      <c r="U76" s="412"/>
      <c r="V76" s="412"/>
      <c r="W76" s="412"/>
      <c r="X76" s="412"/>
      <c r="Y76" s="57"/>
      <c r="Z76" s="57"/>
      <c r="AA76" s="57"/>
      <c r="AB76" s="57"/>
      <c r="AC76" s="57"/>
      <c r="AD76" s="57"/>
      <c r="AE76" s="57"/>
      <c r="AF76" s="57"/>
    </row>
    <row r="77" spans="1:32" ht="18" customHeight="1" x14ac:dyDescent="0.2">
      <c r="A77" s="722" t="str">
        <f>IF(Expenditure!A165="Staffing: Add Cost Centre Description Here","Staffing: not in use",Expenditure!A165)</f>
        <v>Staffing: not in use</v>
      </c>
      <c r="B77" s="578">
        <f>Expenditure!F168</f>
        <v>0</v>
      </c>
      <c r="C77" s="725"/>
      <c r="D77" s="723" t="s">
        <v>518</v>
      </c>
      <c r="E77" s="730">
        <f>Expenditure!F436</f>
        <v>2973</v>
      </c>
      <c r="F77" s="972" t="str">
        <f t="shared" si="4"/>
        <v/>
      </c>
      <c r="G77" s="412"/>
      <c r="H77" s="412"/>
      <c r="I77" s="987">
        <f t="shared" si="6"/>
        <v>0</v>
      </c>
      <c r="J77" s="412"/>
      <c r="K77" s="412"/>
      <c r="L77" s="412"/>
      <c r="M77" s="412"/>
      <c r="N77" s="412"/>
      <c r="O77" s="412"/>
      <c r="P77" s="412"/>
      <c r="Q77" s="412"/>
      <c r="R77" s="412"/>
      <c r="S77" s="412"/>
      <c r="T77" s="412"/>
      <c r="U77" s="412"/>
      <c r="V77" s="412"/>
      <c r="W77" s="412"/>
      <c r="X77" s="412"/>
      <c r="Y77" s="57"/>
      <c r="Z77" s="57"/>
      <c r="AA77" s="57"/>
      <c r="AB77" s="57"/>
      <c r="AC77" s="57"/>
      <c r="AD77" s="57"/>
      <c r="AE77" s="57"/>
      <c r="AF77" s="57"/>
    </row>
    <row r="78" spans="1:32" ht="18" customHeight="1" x14ac:dyDescent="0.2">
      <c r="A78" s="722" t="str">
        <f>IF(Expenditure!A170="Staffing: Add Cost Centre Description Here","Staffing: not in use",Expenditure!A170)</f>
        <v>Staffing: not in use</v>
      </c>
      <c r="B78" s="578">
        <f>Expenditure!F173</f>
        <v>0</v>
      </c>
      <c r="C78" s="725"/>
      <c r="D78" s="724" t="s">
        <v>524</v>
      </c>
      <c r="E78" s="730">
        <f>Expenditure!F439</f>
        <v>0</v>
      </c>
      <c r="F78" s="972" t="str">
        <f t="shared" si="4"/>
        <v/>
      </c>
      <c r="G78" s="412"/>
      <c r="H78" s="412"/>
      <c r="I78" s="987">
        <f t="shared" si="6"/>
        <v>0</v>
      </c>
      <c r="J78" s="412"/>
      <c r="K78" s="412"/>
      <c r="L78" s="412"/>
      <c r="M78" s="412"/>
      <c r="N78" s="412"/>
      <c r="O78" s="412"/>
      <c r="P78" s="412"/>
      <c r="Q78" s="412"/>
      <c r="R78" s="412"/>
      <c r="S78" s="412"/>
      <c r="T78" s="412"/>
      <c r="U78" s="412"/>
      <c r="V78" s="412"/>
      <c r="W78" s="412"/>
      <c r="X78" s="412"/>
      <c r="Y78" s="57"/>
      <c r="Z78" s="57"/>
      <c r="AA78" s="57"/>
      <c r="AB78" s="57"/>
      <c r="AC78" s="57"/>
      <c r="AD78" s="57"/>
      <c r="AE78" s="57"/>
      <c r="AF78" s="57"/>
    </row>
    <row r="79" spans="1:32" ht="18" customHeight="1" x14ac:dyDescent="0.2">
      <c r="A79" s="722" t="str">
        <f>IF(Expenditure!A175="Staffing: Add Cost Centre Description Here","Staffing: not in use",Expenditure!A175)</f>
        <v>Staffing: not in use</v>
      </c>
      <c r="B79" s="578">
        <f>Expenditure!F178</f>
        <v>0</v>
      </c>
      <c r="C79" s="725"/>
      <c r="D79" s="723" t="s">
        <v>680</v>
      </c>
      <c r="E79" s="748">
        <f>Expenditure!F450</f>
        <v>7612</v>
      </c>
      <c r="F79" s="972" t="str">
        <f t="shared" si="4"/>
        <v/>
      </c>
      <c r="G79" s="412"/>
      <c r="H79" s="412"/>
      <c r="I79" s="987">
        <f t="shared" si="6"/>
        <v>0</v>
      </c>
      <c r="J79" s="412"/>
      <c r="K79" s="412"/>
      <c r="L79" s="412"/>
      <c r="M79" s="412"/>
      <c r="N79" s="412"/>
      <c r="O79" s="412"/>
      <c r="P79" s="412"/>
      <c r="Q79" s="412"/>
      <c r="R79" s="412"/>
      <c r="S79" s="412"/>
      <c r="T79" s="412"/>
      <c r="U79" s="412"/>
      <c r="V79" s="412"/>
      <c r="W79" s="412"/>
      <c r="X79" s="412"/>
      <c r="Y79" s="57"/>
      <c r="Z79" s="57"/>
      <c r="AA79" s="57"/>
      <c r="AB79" s="57"/>
      <c r="AC79" s="57"/>
      <c r="AD79" s="57"/>
      <c r="AE79" s="57"/>
      <c r="AF79" s="57"/>
    </row>
    <row r="80" spans="1:32" ht="18" customHeight="1" x14ac:dyDescent="0.2">
      <c r="A80" s="722" t="s">
        <v>679</v>
      </c>
      <c r="B80" s="578">
        <f>Expenditure!F184</f>
        <v>0</v>
      </c>
      <c r="C80" s="725"/>
      <c r="D80" s="723" t="s">
        <v>889</v>
      </c>
      <c r="E80" s="730">
        <f>Expenditure!F455</f>
        <v>198</v>
      </c>
      <c r="F80" s="972"/>
      <c r="G80" s="412"/>
      <c r="H80" s="412"/>
      <c r="I80" s="987"/>
      <c r="J80" s="412"/>
      <c r="K80" s="412"/>
      <c r="L80" s="412"/>
      <c r="M80" s="412"/>
      <c r="N80" s="412"/>
      <c r="O80" s="412"/>
      <c r="P80" s="412"/>
      <c r="Q80" s="412"/>
      <c r="R80" s="412"/>
      <c r="S80" s="412"/>
      <c r="T80" s="412"/>
      <c r="U80" s="412"/>
      <c r="V80" s="412"/>
      <c r="W80" s="412"/>
      <c r="X80" s="412"/>
      <c r="Y80" s="57"/>
      <c r="Z80" s="57"/>
      <c r="AA80" s="57"/>
      <c r="AB80" s="57"/>
      <c r="AC80" s="57"/>
      <c r="AD80" s="57"/>
      <c r="AE80" s="57"/>
      <c r="AF80" s="57"/>
    </row>
    <row r="81" spans="1:32" ht="18" customHeight="1" x14ac:dyDescent="0.2">
      <c r="A81" s="722" t="s">
        <v>476</v>
      </c>
      <c r="B81" s="579">
        <f>Expenditure!F197</f>
        <v>6254</v>
      </c>
      <c r="C81" s="725"/>
      <c r="D81" s="723" t="str">
        <f>IF(Expenditure!A457="Add Cost Centre Description Here","Other costs: not in use",Expenditure!A457)</f>
        <v>Pupil Premium</v>
      </c>
      <c r="E81" s="788">
        <f>Expenditure!F460</f>
        <v>10760</v>
      </c>
      <c r="F81" s="972" t="str">
        <f t="shared" ref="F81:F103" si="7">IF(I81&gt;0,"Please enter a description in column A on the Expenditure sheet","")</f>
        <v/>
      </c>
      <c r="G81" s="412"/>
      <c r="H81" s="412"/>
      <c r="I81" s="987">
        <f>IF(AND(E81&lt;&gt;0,D81="Other costs: not in use"),2,0)</f>
        <v>0</v>
      </c>
      <c r="J81" s="412"/>
      <c r="K81" s="412"/>
      <c r="L81" s="412"/>
      <c r="M81" s="412"/>
      <c r="N81" s="412"/>
      <c r="O81" s="412"/>
      <c r="P81" s="412"/>
      <c r="Q81" s="412"/>
      <c r="R81" s="412"/>
      <c r="S81" s="412"/>
      <c r="T81" s="412"/>
      <c r="U81" s="412"/>
      <c r="V81" s="412"/>
      <c r="W81" s="412"/>
      <c r="X81" s="412"/>
      <c r="Y81" s="57"/>
      <c r="Z81" s="57"/>
      <c r="AA81" s="57"/>
      <c r="AB81" s="57"/>
      <c r="AC81" s="57"/>
      <c r="AD81" s="57"/>
      <c r="AE81" s="57"/>
      <c r="AF81" s="57"/>
    </row>
    <row r="82" spans="1:32" ht="18" customHeight="1" x14ac:dyDescent="0.2">
      <c r="A82" s="722" t="s">
        <v>670</v>
      </c>
      <c r="B82" s="578">
        <f>Expenditure!F203</f>
        <v>0</v>
      </c>
      <c r="C82" s="725"/>
      <c r="D82" s="723" t="str">
        <f>IF(Expenditure!A462="Add Cost Centre Description Here","Other costs: not in use",Expenditure!A462)</f>
        <v>Pupil Premium C/F 19/20</v>
      </c>
      <c r="E82" s="788">
        <f>Expenditure!F465</f>
        <v>6216</v>
      </c>
      <c r="F82" s="972" t="str">
        <f t="shared" si="7"/>
        <v/>
      </c>
      <c r="G82" s="412"/>
      <c r="H82" s="412"/>
      <c r="I82" s="987">
        <f t="shared" ref="I82:I88" si="8">IF(AND(E82&lt;&gt;0,D82="Other costs: not in use"),2,0)</f>
        <v>0</v>
      </c>
      <c r="J82" s="412"/>
      <c r="K82" s="412"/>
      <c r="L82" s="412"/>
      <c r="M82" s="412"/>
      <c r="N82" s="412"/>
      <c r="O82" s="412"/>
      <c r="P82" s="412"/>
      <c r="Q82" s="412"/>
      <c r="R82" s="412"/>
      <c r="S82" s="412"/>
      <c r="T82" s="412"/>
      <c r="U82" s="412"/>
      <c r="V82" s="412"/>
      <c r="W82" s="412"/>
      <c r="X82" s="412"/>
      <c r="Y82" s="57"/>
      <c r="Z82" s="57"/>
      <c r="AA82" s="57"/>
      <c r="AB82" s="57"/>
      <c r="AC82" s="57"/>
      <c r="AD82" s="57"/>
      <c r="AE82" s="57"/>
      <c r="AF82" s="57"/>
    </row>
    <row r="83" spans="1:32" ht="18" customHeight="1" x14ac:dyDescent="0.2">
      <c r="A83" s="722" t="s">
        <v>481</v>
      </c>
      <c r="B83" s="579">
        <f>Expenditure!F210</f>
        <v>2340</v>
      </c>
      <c r="C83" s="725"/>
      <c r="D83" s="723" t="str">
        <f>IF(Expenditure!A467="Add Cost Centre Description Here","Other costs: not in use",Expenditure!A467)</f>
        <v>PE &amp; Sports Grant</v>
      </c>
      <c r="E83" s="788">
        <f>Expenditure!F470</f>
        <v>16730</v>
      </c>
      <c r="F83" s="972" t="str">
        <f t="shared" si="7"/>
        <v/>
      </c>
      <c r="G83" s="412"/>
      <c r="H83" s="412"/>
      <c r="I83" s="987">
        <f t="shared" si="8"/>
        <v>0</v>
      </c>
      <c r="J83" s="412"/>
      <c r="K83" s="412"/>
      <c r="L83" s="412"/>
      <c r="M83" s="412"/>
      <c r="N83" s="412"/>
      <c r="O83" s="412"/>
      <c r="P83" s="412"/>
      <c r="Q83" s="412"/>
      <c r="R83" s="412"/>
      <c r="S83" s="412"/>
      <c r="T83" s="412"/>
      <c r="U83" s="412"/>
      <c r="V83" s="412"/>
      <c r="W83" s="412"/>
      <c r="X83" s="412"/>
      <c r="Y83" s="57"/>
      <c r="Z83" s="57"/>
      <c r="AA83" s="57"/>
      <c r="AB83" s="57"/>
      <c r="AC83" s="57"/>
      <c r="AD83" s="57"/>
      <c r="AE83" s="57"/>
      <c r="AF83" s="57"/>
    </row>
    <row r="84" spans="1:32" ht="18" customHeight="1" x14ac:dyDescent="0.2">
      <c r="A84" s="722" t="s">
        <v>485</v>
      </c>
      <c r="B84" s="578">
        <f>Expenditure!F222</f>
        <v>2437.1999999999998</v>
      </c>
      <c r="C84" s="725"/>
      <c r="D84" s="723" t="str">
        <f>IF(Expenditure!A472="Add Cost Centre Description Here","Other costs: not in use",Expenditure!A472)</f>
        <v>PE &amp; Sports Grant C/F 19/20</v>
      </c>
      <c r="E84" s="788">
        <f>Expenditure!F475</f>
        <v>9826</v>
      </c>
      <c r="F84" s="972" t="str">
        <f t="shared" si="7"/>
        <v/>
      </c>
      <c r="G84" s="412"/>
      <c r="H84" s="412"/>
      <c r="I84" s="987">
        <f t="shared" si="8"/>
        <v>0</v>
      </c>
      <c r="J84" s="412"/>
      <c r="K84" s="412"/>
      <c r="L84" s="412"/>
      <c r="M84" s="412"/>
      <c r="N84" s="412"/>
      <c r="O84" s="412"/>
      <c r="P84" s="412"/>
      <c r="Q84" s="412"/>
      <c r="R84" s="412"/>
      <c r="S84" s="412"/>
      <c r="T84" s="412"/>
      <c r="U84" s="412"/>
      <c r="V84" s="412"/>
      <c r="W84" s="412"/>
      <c r="X84" s="412"/>
      <c r="Y84" s="57"/>
      <c r="Z84" s="57"/>
      <c r="AA84" s="57"/>
      <c r="AB84" s="57"/>
      <c r="AC84" s="57"/>
      <c r="AD84" s="57"/>
      <c r="AE84" s="57"/>
      <c r="AF84" s="57"/>
    </row>
    <row r="85" spans="1:32" ht="18" customHeight="1" x14ac:dyDescent="0.2">
      <c r="A85" s="722" t="s">
        <v>490</v>
      </c>
      <c r="B85" s="579">
        <f>Expenditure!F227</f>
        <v>7827</v>
      </c>
      <c r="C85" s="725"/>
      <c r="D85" s="723" t="str">
        <f>IF(Expenditure!A477="Add Cost Centre Description Here","Other costs: not in use",Expenditure!A477)</f>
        <v>Other costs: not in use</v>
      </c>
      <c r="E85" s="788">
        <f>Expenditure!F480</f>
        <v>0</v>
      </c>
      <c r="F85" s="972" t="str">
        <f t="shared" si="7"/>
        <v/>
      </c>
      <c r="G85" s="412"/>
      <c r="H85" s="412"/>
      <c r="I85" s="987">
        <f t="shared" si="8"/>
        <v>0</v>
      </c>
      <c r="J85" s="412"/>
      <c r="K85" s="412"/>
      <c r="L85" s="412"/>
      <c r="M85" s="412"/>
      <c r="N85" s="412"/>
      <c r="O85" s="412"/>
      <c r="P85" s="412"/>
      <c r="Q85" s="412"/>
      <c r="R85" s="412"/>
      <c r="S85" s="412"/>
      <c r="T85" s="412"/>
      <c r="U85" s="412"/>
      <c r="V85" s="412"/>
      <c r="W85" s="412"/>
      <c r="X85" s="412"/>
      <c r="Y85" s="57"/>
      <c r="Z85" s="57"/>
      <c r="AA85" s="57"/>
      <c r="AB85" s="57"/>
      <c r="AC85" s="57"/>
      <c r="AD85" s="57"/>
      <c r="AE85" s="57"/>
      <c r="AF85" s="57"/>
    </row>
    <row r="86" spans="1:32" ht="18" customHeight="1" x14ac:dyDescent="0.2">
      <c r="A86" s="721" t="s">
        <v>495</v>
      </c>
      <c r="B86" s="578">
        <f>Expenditure!F231</f>
        <v>783</v>
      </c>
      <c r="C86" s="725"/>
      <c r="D86" s="723" t="str">
        <f>IF(Expenditure!A482="Add Cost Centre Description Here","Other costs: not in use",Expenditure!A482)</f>
        <v>Other costs: not in use</v>
      </c>
      <c r="E86" s="788">
        <f>Expenditure!F485</f>
        <v>0</v>
      </c>
      <c r="F86" s="972" t="str">
        <f t="shared" si="7"/>
        <v/>
      </c>
      <c r="G86" s="412"/>
      <c r="H86" s="412"/>
      <c r="I86" s="987">
        <f t="shared" si="8"/>
        <v>0</v>
      </c>
      <c r="J86" s="412"/>
      <c r="K86" s="412"/>
      <c r="L86" s="412"/>
      <c r="M86" s="412"/>
      <c r="N86" s="412"/>
      <c r="O86" s="412"/>
      <c r="P86" s="412"/>
      <c r="Q86" s="412"/>
      <c r="R86" s="412"/>
      <c r="S86" s="412"/>
      <c r="T86" s="412"/>
      <c r="U86" s="412"/>
      <c r="V86" s="412"/>
      <c r="W86" s="412"/>
      <c r="X86" s="412"/>
      <c r="Y86" s="57"/>
      <c r="Z86" s="57"/>
      <c r="AA86" s="57"/>
      <c r="AB86" s="57"/>
      <c r="AC86" s="57"/>
      <c r="AD86" s="57"/>
      <c r="AE86" s="57"/>
      <c r="AF86" s="57"/>
    </row>
    <row r="87" spans="1:32" ht="18" customHeight="1" x14ac:dyDescent="0.2">
      <c r="A87" s="722" t="s">
        <v>497</v>
      </c>
      <c r="B87" s="578">
        <f>Expenditure!F234</f>
        <v>0</v>
      </c>
      <c r="C87" s="725"/>
      <c r="D87" s="723" t="str">
        <f>IF(Expenditure!A487="Add Cost Centre Description Here","Other costs: not in use",Expenditure!A487)</f>
        <v>Other costs: not in use</v>
      </c>
      <c r="E87" s="788">
        <f>Expenditure!F490</f>
        <v>0</v>
      </c>
      <c r="F87" s="972" t="str">
        <f t="shared" si="7"/>
        <v/>
      </c>
      <c r="G87" s="412"/>
      <c r="H87" s="412"/>
      <c r="I87" s="987">
        <f t="shared" si="8"/>
        <v>0</v>
      </c>
      <c r="J87" s="412"/>
      <c r="K87" s="412"/>
      <c r="L87" s="412"/>
      <c r="M87" s="412"/>
      <c r="N87" s="412"/>
      <c r="O87" s="412"/>
      <c r="P87" s="412"/>
      <c r="Q87" s="412"/>
      <c r="R87" s="412"/>
      <c r="S87" s="412"/>
      <c r="T87" s="412"/>
      <c r="U87" s="412"/>
      <c r="V87" s="412"/>
      <c r="W87" s="412"/>
      <c r="X87" s="412"/>
      <c r="Y87" s="57"/>
      <c r="Z87" s="57"/>
      <c r="AA87" s="57"/>
      <c r="AB87" s="57"/>
      <c r="AC87" s="57"/>
      <c r="AD87" s="57"/>
      <c r="AE87" s="57"/>
      <c r="AF87" s="57"/>
    </row>
    <row r="88" spans="1:32" ht="18" customHeight="1" x14ac:dyDescent="0.2">
      <c r="A88" s="721" t="s">
        <v>499</v>
      </c>
      <c r="B88" s="578">
        <f>Expenditure!F237</f>
        <v>9980</v>
      </c>
      <c r="C88" s="725"/>
      <c r="D88" s="723" t="str">
        <f>IF(Expenditure!A492="Add Cost Centre Description Here","Other costs: not in use",Expenditure!A492)</f>
        <v>Other costs: not in use</v>
      </c>
      <c r="E88" s="788">
        <f>Expenditure!F495</f>
        <v>0</v>
      </c>
      <c r="F88" s="972" t="str">
        <f t="shared" si="7"/>
        <v/>
      </c>
      <c r="G88" s="412"/>
      <c r="H88" s="412"/>
      <c r="I88" s="987">
        <f t="shared" si="8"/>
        <v>0</v>
      </c>
      <c r="J88" s="412"/>
      <c r="K88" s="412"/>
      <c r="L88" s="412"/>
      <c r="M88" s="412"/>
      <c r="N88" s="412"/>
      <c r="O88" s="412"/>
      <c r="P88" s="412"/>
      <c r="Q88" s="412"/>
      <c r="R88" s="412"/>
      <c r="S88" s="412"/>
      <c r="T88" s="412"/>
      <c r="U88" s="412"/>
      <c r="V88" s="412"/>
      <c r="W88" s="412"/>
      <c r="X88" s="412"/>
      <c r="Y88" s="57"/>
      <c r="Z88" s="57"/>
      <c r="AA88" s="57"/>
      <c r="AB88" s="57"/>
      <c r="AC88" s="57"/>
      <c r="AD88" s="57"/>
      <c r="AE88" s="57"/>
      <c r="AF88" s="57"/>
    </row>
    <row r="89" spans="1:32" ht="18" customHeight="1" x14ac:dyDescent="0.2">
      <c r="A89" s="722" t="str">
        <f>IF(Expenditure!A239="Premises: Add Cost Centre Description Here","Premises: not in use",Expenditure!A239)</f>
        <v>Premises: not in use</v>
      </c>
      <c r="B89" s="578">
        <f>Expenditure!F242</f>
        <v>0</v>
      </c>
      <c r="C89" s="725"/>
      <c r="D89" s="723" t="str">
        <f>IF(Expenditure!A497="Add Cost Centre Description Here","Other costs: not in use",Expenditure!A497)</f>
        <v>Other costs: not in use</v>
      </c>
      <c r="E89" s="788">
        <f>Expenditure!F500</f>
        <v>0</v>
      </c>
      <c r="F89" s="972" t="str">
        <f t="shared" si="7"/>
        <v/>
      </c>
      <c r="G89" s="412"/>
      <c r="H89" s="412"/>
      <c r="I89" s="987">
        <f>IF(AND(A89="Premises: not in use",B89&lt;&gt;0),1,0)+IF(AND(E89&lt;&gt;0,D89="Other costs: not in use"),2,0)</f>
        <v>0</v>
      </c>
      <c r="J89" s="412"/>
      <c r="K89" s="412"/>
      <c r="L89" s="412"/>
      <c r="M89" s="412"/>
      <c r="N89" s="412"/>
      <c r="O89" s="412"/>
      <c r="P89" s="412"/>
      <c r="Q89" s="412"/>
      <c r="R89" s="412"/>
      <c r="S89" s="412"/>
      <c r="T89" s="412"/>
      <c r="U89" s="412"/>
      <c r="V89" s="412"/>
      <c r="W89" s="412"/>
      <c r="X89" s="412"/>
      <c r="Y89" s="57"/>
      <c r="Z89" s="57"/>
      <c r="AA89" s="57"/>
      <c r="AB89" s="57"/>
      <c r="AC89" s="57"/>
      <c r="AD89" s="57"/>
      <c r="AE89" s="57"/>
      <c r="AF89" s="57"/>
    </row>
    <row r="90" spans="1:32" ht="18" customHeight="1" x14ac:dyDescent="0.2">
      <c r="A90" s="722" t="str">
        <f>IF(Expenditure!A244="Premises: Add Cost Centre Description Here","Premises: not in use",Expenditure!A244)</f>
        <v>Premises: not in use</v>
      </c>
      <c r="B90" s="578">
        <f>Expenditure!F247</f>
        <v>0</v>
      </c>
      <c r="C90" s="725"/>
      <c r="D90" s="723" t="str">
        <f>IF(Expenditure!A502="Add Cost Centre Description Here","Other costs: not in use",Expenditure!A502)</f>
        <v>Other costs: not in use</v>
      </c>
      <c r="E90" s="788">
        <f>Expenditure!F505</f>
        <v>0</v>
      </c>
      <c r="F90" s="972" t="str">
        <f t="shared" si="7"/>
        <v/>
      </c>
      <c r="G90" s="412"/>
      <c r="H90" s="412"/>
      <c r="I90" s="987">
        <f t="shared" ref="I90:I94" si="9">IF(AND(A90="Premises: not in use",B90&lt;&gt;0),1,0)+IF(AND(E90&lt;&gt;0,D90="Other costs: not in use"),2,0)</f>
        <v>0</v>
      </c>
      <c r="J90" s="412"/>
      <c r="K90" s="412"/>
      <c r="L90" s="412"/>
      <c r="M90" s="412"/>
      <c r="N90" s="412"/>
      <c r="O90" s="412"/>
      <c r="P90" s="412"/>
      <c r="Q90" s="412"/>
      <c r="R90" s="412"/>
      <c r="S90" s="412"/>
      <c r="T90" s="412"/>
      <c r="U90" s="412"/>
      <c r="V90" s="412"/>
      <c r="W90" s="412"/>
      <c r="X90" s="412"/>
      <c r="Y90" s="57"/>
      <c r="Z90" s="57"/>
      <c r="AA90" s="57"/>
      <c r="AB90" s="57"/>
      <c r="AC90" s="57"/>
      <c r="AD90" s="57"/>
      <c r="AE90" s="57"/>
      <c r="AF90" s="57"/>
    </row>
    <row r="91" spans="1:32" ht="18" customHeight="1" x14ac:dyDescent="0.2">
      <c r="A91" s="722" t="str">
        <f>IF(Expenditure!A249="Premises: Add Cost Centre Description Here","Premises: not in use",Expenditure!A241)</f>
        <v>Premises: not in use</v>
      </c>
      <c r="B91" s="578">
        <f>Expenditure!F252</f>
        <v>0</v>
      </c>
      <c r="C91" s="725"/>
      <c r="D91" s="723" t="str">
        <f>IF(Expenditure!A507="Add Cost Centre Description Here","Other costs: not in use",Expenditure!A507)</f>
        <v>Other costs: not in use</v>
      </c>
      <c r="E91" s="788">
        <f>Expenditure!F510</f>
        <v>0</v>
      </c>
      <c r="F91" s="972" t="str">
        <f t="shared" si="7"/>
        <v/>
      </c>
      <c r="G91" s="412"/>
      <c r="H91" s="412"/>
      <c r="I91" s="987">
        <f t="shared" si="9"/>
        <v>0</v>
      </c>
      <c r="J91" s="412"/>
      <c r="K91" s="412"/>
      <c r="L91" s="412"/>
      <c r="M91" s="412"/>
      <c r="N91" s="412"/>
      <c r="O91" s="412"/>
      <c r="P91" s="412"/>
      <c r="Q91" s="412"/>
      <c r="R91" s="412"/>
      <c r="S91" s="412"/>
      <c r="T91" s="412"/>
      <c r="U91" s="412"/>
      <c r="V91" s="412"/>
      <c r="W91" s="412"/>
      <c r="X91" s="412"/>
      <c r="Y91" s="57"/>
      <c r="Z91" s="57"/>
      <c r="AA91" s="57"/>
      <c r="AB91" s="57"/>
      <c r="AC91" s="57"/>
      <c r="AD91" s="57"/>
      <c r="AE91" s="57"/>
      <c r="AF91" s="57"/>
    </row>
    <row r="92" spans="1:32" ht="18" customHeight="1" x14ac:dyDescent="0.2">
      <c r="A92" s="722" t="str">
        <f>IF(Expenditure!A254="Premises: Add Cost Centre Description Here","Premises: not in use",Expenditure!A242)</f>
        <v>Premises: not in use</v>
      </c>
      <c r="B92" s="578">
        <f>Expenditure!F257</f>
        <v>0</v>
      </c>
      <c r="C92" s="725"/>
      <c r="D92" s="723" t="str">
        <f>IF(Expenditure!A512="Add Cost Centre Description Here","Other costs: not in use",Expenditure!A512)</f>
        <v>Other costs: not in use</v>
      </c>
      <c r="E92" s="788">
        <f>Expenditure!F515</f>
        <v>0</v>
      </c>
      <c r="F92" s="972" t="str">
        <f t="shared" si="7"/>
        <v/>
      </c>
      <c r="G92" s="412"/>
      <c r="H92" s="412"/>
      <c r="I92" s="987">
        <f t="shared" si="9"/>
        <v>0</v>
      </c>
      <c r="J92" s="412"/>
      <c r="K92" s="412"/>
      <c r="L92" s="412"/>
      <c r="M92" s="412"/>
      <c r="N92" s="412"/>
      <c r="O92" s="412"/>
      <c r="P92" s="412"/>
      <c r="Q92" s="412"/>
      <c r="R92" s="412"/>
      <c r="S92" s="412"/>
      <c r="T92" s="412"/>
      <c r="U92" s="412"/>
      <c r="V92" s="412"/>
      <c r="W92" s="412"/>
      <c r="X92" s="412"/>
      <c r="Y92" s="57"/>
      <c r="Z92" s="57"/>
      <c r="AA92" s="57"/>
      <c r="AB92" s="57"/>
      <c r="AC92" s="57"/>
      <c r="AD92" s="57"/>
      <c r="AE92" s="57"/>
      <c r="AF92" s="57"/>
    </row>
    <row r="93" spans="1:32" ht="18" customHeight="1" x14ac:dyDescent="0.2">
      <c r="A93" s="722" t="str">
        <f>IF(Expenditure!A259="Premises: Add Cost Centre Description Here","Premises: not in use",Expenditure!A243)</f>
        <v>Premises: not in use</v>
      </c>
      <c r="B93" s="578">
        <f>Expenditure!F262</f>
        <v>0</v>
      </c>
      <c r="C93" s="725"/>
      <c r="D93" s="723" t="str">
        <f>IF(Expenditure!A517="Add Cost Centre Description Here","Other costs: not in use",Expenditure!A517)</f>
        <v>Other costs: not in use</v>
      </c>
      <c r="E93" s="788">
        <f>Expenditure!F520</f>
        <v>0</v>
      </c>
      <c r="F93" s="972" t="str">
        <f t="shared" si="7"/>
        <v/>
      </c>
      <c r="G93" s="412"/>
      <c r="H93" s="412"/>
      <c r="I93" s="987">
        <f t="shared" si="9"/>
        <v>0</v>
      </c>
      <c r="J93" s="412"/>
      <c r="K93" s="412"/>
      <c r="L93" s="412"/>
      <c r="M93" s="412"/>
      <c r="N93" s="412"/>
      <c r="O93" s="412"/>
      <c r="P93" s="412"/>
      <c r="Q93" s="412"/>
      <c r="R93" s="412"/>
      <c r="S93" s="412"/>
      <c r="T93" s="412"/>
      <c r="U93" s="412"/>
      <c r="V93" s="412"/>
      <c r="W93" s="412"/>
      <c r="X93" s="412"/>
      <c r="Y93" s="57"/>
      <c r="Z93" s="57"/>
      <c r="AA93" s="57"/>
      <c r="AB93" s="57"/>
      <c r="AC93" s="57"/>
      <c r="AD93" s="57"/>
      <c r="AE93" s="57"/>
      <c r="AF93" s="57"/>
    </row>
    <row r="94" spans="1:32" ht="18" customHeight="1" x14ac:dyDescent="0.2">
      <c r="A94" s="722" t="str">
        <f>IF(Expenditure!A264="Premises: Add Cost Centre Description Here","Premises: not in use",Expenditure!A239)</f>
        <v>Premises: not in use</v>
      </c>
      <c r="B94" s="578">
        <f>Expenditure!F267</f>
        <v>0</v>
      </c>
      <c r="C94" s="725"/>
      <c r="D94" s="723" t="str">
        <f>IF(Expenditure!A522="Add Cost Centre Description Here","Other costs: not in use",Expenditure!A522)</f>
        <v>Other costs: not in use</v>
      </c>
      <c r="E94" s="788">
        <f>Expenditure!F525</f>
        <v>0</v>
      </c>
      <c r="F94" s="972" t="str">
        <f t="shared" si="7"/>
        <v/>
      </c>
      <c r="G94" s="412"/>
      <c r="H94" s="412"/>
      <c r="I94" s="987">
        <f t="shared" si="9"/>
        <v>0</v>
      </c>
      <c r="J94" s="412"/>
      <c r="K94" s="412"/>
      <c r="L94" s="412"/>
      <c r="M94" s="412"/>
      <c r="N94" s="412"/>
      <c r="O94" s="412"/>
      <c r="P94" s="412"/>
      <c r="Q94" s="412"/>
      <c r="R94" s="412"/>
      <c r="S94" s="412"/>
      <c r="T94" s="412"/>
      <c r="U94" s="412"/>
      <c r="V94" s="412"/>
      <c r="W94" s="412"/>
      <c r="X94" s="412"/>
      <c r="Y94" s="57"/>
      <c r="Z94" s="57"/>
      <c r="AA94" s="57"/>
      <c r="AB94" s="57"/>
      <c r="AC94" s="57"/>
      <c r="AD94" s="57"/>
      <c r="AE94" s="57"/>
      <c r="AF94" s="57"/>
    </row>
    <row r="95" spans="1:32" ht="18" customHeight="1" x14ac:dyDescent="0.2">
      <c r="A95" s="722" t="s">
        <v>502</v>
      </c>
      <c r="B95" s="578">
        <f>Expenditure!F278</f>
        <v>4264</v>
      </c>
      <c r="C95" s="725"/>
      <c r="D95" s="723" t="str">
        <f>IF(Expenditure!A527="Add Cost Centre Description Here","Other costs: not in use",Expenditure!A527)</f>
        <v>Other costs: not in use</v>
      </c>
      <c r="E95" s="788">
        <f>Expenditure!F530</f>
        <v>0</v>
      </c>
      <c r="F95" s="972" t="str">
        <f t="shared" si="7"/>
        <v/>
      </c>
      <c r="G95" s="412"/>
      <c r="H95" s="412"/>
      <c r="I95" s="987">
        <f>IF(AND(E95&lt;&gt;0,D95="Other costs: not in use"),2,0)</f>
        <v>0</v>
      </c>
      <c r="J95" s="412"/>
      <c r="K95" s="412"/>
      <c r="L95" s="412"/>
      <c r="M95" s="412"/>
      <c r="N95" s="412"/>
      <c r="O95" s="412"/>
      <c r="P95" s="412"/>
      <c r="Q95" s="412"/>
      <c r="R95" s="412"/>
      <c r="S95" s="412"/>
      <c r="T95" s="412"/>
      <c r="U95" s="412"/>
      <c r="V95" s="412"/>
      <c r="W95" s="412"/>
      <c r="X95" s="412"/>
      <c r="Y95" s="57"/>
      <c r="Z95" s="57"/>
      <c r="AA95" s="57"/>
      <c r="AB95" s="57"/>
      <c r="AC95" s="57"/>
      <c r="AD95" s="57"/>
      <c r="AE95" s="57"/>
      <c r="AF95" s="57"/>
    </row>
    <row r="96" spans="1:32" ht="18" customHeight="1" x14ac:dyDescent="0.2">
      <c r="A96" s="722" t="str">
        <f>Expenditure!A280</f>
        <v>Fees Expenditure - Pupils</v>
      </c>
      <c r="B96" s="578">
        <f>Expenditure!F283</f>
        <v>0</v>
      </c>
      <c r="C96" s="725"/>
      <c r="D96" s="723" t="str">
        <f>IF(Expenditure!A532="Add Cost Centre Description Here","Other costs: not in use",Expenditure!A532)</f>
        <v>Other costs: not in use</v>
      </c>
      <c r="E96" s="788">
        <f>Expenditure!F535</f>
        <v>0</v>
      </c>
      <c r="F96" s="972" t="str">
        <f t="shared" si="7"/>
        <v/>
      </c>
      <c r="G96" s="412"/>
      <c r="H96" s="412"/>
      <c r="I96" s="987">
        <f>IF(AND(E96&lt;&gt;0,D96="Other costs: not in use"),2,0)</f>
        <v>0</v>
      </c>
      <c r="J96" s="412"/>
      <c r="K96" s="412"/>
      <c r="L96" s="412"/>
      <c r="M96" s="412"/>
      <c r="N96" s="412"/>
      <c r="O96" s="412"/>
      <c r="P96" s="412"/>
      <c r="Q96" s="412"/>
      <c r="R96" s="412"/>
      <c r="S96" s="412"/>
      <c r="T96" s="412"/>
      <c r="U96" s="412"/>
      <c r="V96" s="412"/>
      <c r="W96" s="412"/>
      <c r="X96" s="412"/>
      <c r="Y96" s="57"/>
      <c r="Z96" s="57"/>
      <c r="AA96" s="57"/>
      <c r="AB96" s="57"/>
      <c r="AC96" s="57"/>
      <c r="AD96" s="57"/>
      <c r="AE96" s="57"/>
      <c r="AF96" s="57"/>
    </row>
    <row r="97" spans="1:32" ht="18" customHeight="1" x14ac:dyDescent="0.2">
      <c r="A97" s="722" t="str">
        <f>IF(Expenditure!A285="Curriculum: Add Cost Centre Description Here","Curriculum: not in use",Expenditure!A285)</f>
        <v>Swimming Expenditure</v>
      </c>
      <c r="B97" s="578">
        <f>Expenditure!F288</f>
        <v>960</v>
      </c>
      <c r="C97" s="725"/>
      <c r="D97" s="723" t="str">
        <f>IF(Expenditure!A537="Add Cost Centre Description Here","Other costs: not in use",Expenditure!A537)</f>
        <v>Other costs: not in use</v>
      </c>
      <c r="E97" s="788">
        <f>Expenditure!F540</f>
        <v>0</v>
      </c>
      <c r="F97" s="972" t="str">
        <f t="shared" si="7"/>
        <v/>
      </c>
      <c r="G97" s="412"/>
      <c r="H97" s="412"/>
      <c r="I97" s="987">
        <f>IF(AND(A97="Curriculum: not in use",B97&lt;&gt;0),1,0)+IF(AND(E97&lt;&gt;0,D97="Other costs: not in use"),2,0)</f>
        <v>0</v>
      </c>
      <c r="J97" s="412"/>
      <c r="K97" s="412"/>
      <c r="L97" s="412"/>
      <c r="M97" s="412"/>
      <c r="N97" s="412"/>
      <c r="O97" s="412"/>
      <c r="P97" s="412"/>
      <c r="Q97" s="412"/>
      <c r="R97" s="412"/>
      <c r="S97" s="412"/>
      <c r="T97" s="412"/>
      <c r="U97" s="412"/>
      <c r="V97" s="412"/>
      <c r="W97" s="412"/>
      <c r="X97" s="412"/>
      <c r="Y97" s="57"/>
      <c r="Z97" s="57"/>
      <c r="AA97" s="57"/>
      <c r="AB97" s="57"/>
      <c r="AC97" s="57"/>
      <c r="AD97" s="57"/>
      <c r="AE97" s="57"/>
      <c r="AF97" s="57"/>
    </row>
    <row r="98" spans="1:32" ht="18" customHeight="1" x14ac:dyDescent="0.2">
      <c r="A98" s="722" t="str">
        <f>IF(Expenditure!A290="Curriculum: Add Cost Centre Description Here","Curriculum: not in use",Expenditure!A290)</f>
        <v>Curriculum: not in use</v>
      </c>
      <c r="B98" s="578">
        <f>Expenditure!F293</f>
        <v>0</v>
      </c>
      <c r="C98" s="725"/>
      <c r="D98" s="723" t="str">
        <f>IF(Expenditure!A542="Add Cost Centre Description Here","Other costs: not in use",Expenditure!A542)</f>
        <v>Other costs: not in use</v>
      </c>
      <c r="E98" s="788">
        <f>Expenditure!F545</f>
        <v>0</v>
      </c>
      <c r="F98" s="972" t="str">
        <f t="shared" si="7"/>
        <v/>
      </c>
      <c r="G98" s="412"/>
      <c r="H98" s="412"/>
      <c r="I98" s="987">
        <f t="shared" ref="I98:I103" si="10">IF(AND(A98="Curriculum: not in use",B98&lt;&gt;0),1,0)+IF(AND(E98&lt;&gt;0,D98="Other costs: not in use"),2,0)</f>
        <v>0</v>
      </c>
      <c r="J98" s="412"/>
      <c r="K98" s="412"/>
      <c r="L98" s="412"/>
      <c r="M98" s="412"/>
      <c r="N98" s="412"/>
      <c r="O98" s="412"/>
      <c r="P98" s="412"/>
      <c r="Q98" s="412"/>
      <c r="R98" s="412"/>
      <c r="S98" s="412"/>
      <c r="T98" s="412"/>
      <c r="U98" s="412"/>
      <c r="V98" s="412"/>
      <c r="W98" s="412"/>
      <c r="X98" s="412"/>
      <c r="Y98" s="57"/>
      <c r="Z98" s="57"/>
      <c r="AA98" s="57"/>
      <c r="AB98" s="57"/>
      <c r="AC98" s="57"/>
      <c r="AD98" s="57"/>
      <c r="AE98" s="57"/>
      <c r="AF98" s="57"/>
    </row>
    <row r="99" spans="1:32" ht="18" customHeight="1" x14ac:dyDescent="0.2">
      <c r="A99" s="722" t="str">
        <f>IF(Expenditure!A295="Curriculum: Add Cost Centre Description Here","Curriculum: not in use",Expenditure!A295)</f>
        <v>Curriculum: not in use</v>
      </c>
      <c r="B99" s="578">
        <f>Expenditure!F298</f>
        <v>0</v>
      </c>
      <c r="C99" s="725"/>
      <c r="D99" s="723" t="str">
        <f>IF(Expenditure!A547="Add Cost Centre Description Here","Other costs: not in use",Expenditure!A547)</f>
        <v>Other costs: not in use</v>
      </c>
      <c r="E99" s="788">
        <f>Expenditure!F550</f>
        <v>0</v>
      </c>
      <c r="F99" s="972" t="str">
        <f t="shared" si="7"/>
        <v/>
      </c>
      <c r="G99" s="412"/>
      <c r="H99" s="412"/>
      <c r="I99" s="987">
        <f t="shared" si="10"/>
        <v>0</v>
      </c>
      <c r="J99" s="412"/>
      <c r="K99" s="412"/>
      <c r="L99" s="412"/>
      <c r="M99" s="412"/>
      <c r="N99" s="412"/>
      <c r="O99" s="412"/>
      <c r="P99" s="412"/>
      <c r="Q99" s="412"/>
      <c r="R99" s="412"/>
      <c r="S99" s="412"/>
      <c r="T99" s="412"/>
      <c r="U99" s="412"/>
      <c r="V99" s="412"/>
      <c r="W99" s="412"/>
      <c r="X99" s="412"/>
      <c r="Y99" s="57"/>
      <c r="Z99" s="57"/>
      <c r="AA99" s="57"/>
      <c r="AB99" s="57"/>
      <c r="AC99" s="57"/>
      <c r="AD99" s="57"/>
      <c r="AE99" s="57"/>
      <c r="AF99" s="57"/>
    </row>
    <row r="100" spans="1:32" ht="18" customHeight="1" x14ac:dyDescent="0.2">
      <c r="A100" s="722" t="str">
        <f>IF(Expenditure!A300="Curriculum: Add Cost Centre Description Here","Curriculum: not in use",Expenditure!A300)</f>
        <v>Curriculum: not in use</v>
      </c>
      <c r="B100" s="578">
        <f>Expenditure!F303</f>
        <v>0</v>
      </c>
      <c r="C100" s="725"/>
      <c r="D100" s="723" t="str">
        <f>IF(Expenditure!A552="Add Cost Centre Description Here","Other costs: not in use",Expenditure!A552)</f>
        <v>Other costs: not in use</v>
      </c>
      <c r="E100" s="788">
        <f>Expenditure!F555</f>
        <v>0</v>
      </c>
      <c r="F100" s="972" t="str">
        <f t="shared" si="7"/>
        <v/>
      </c>
      <c r="G100" s="412"/>
      <c r="H100" s="412"/>
      <c r="I100" s="987">
        <f t="shared" si="10"/>
        <v>0</v>
      </c>
      <c r="J100" s="412"/>
      <c r="K100" s="412"/>
      <c r="L100" s="412"/>
      <c r="M100" s="412"/>
      <c r="N100" s="412"/>
      <c r="O100" s="412"/>
      <c r="P100" s="412"/>
      <c r="Q100" s="412"/>
      <c r="R100" s="412"/>
      <c r="S100" s="412"/>
      <c r="T100" s="412"/>
      <c r="U100" s="412"/>
      <c r="V100" s="412"/>
      <c r="W100" s="412"/>
      <c r="X100" s="412"/>
      <c r="Y100" s="57"/>
      <c r="Z100" s="57"/>
      <c r="AA100" s="57"/>
      <c r="AB100" s="57"/>
      <c r="AC100" s="57"/>
      <c r="AD100" s="57"/>
      <c r="AE100" s="57"/>
      <c r="AF100" s="57"/>
    </row>
    <row r="101" spans="1:32" ht="18" customHeight="1" x14ac:dyDescent="0.2">
      <c r="A101" s="722" t="str">
        <f>IF(Expenditure!A305="Curriculum: Add Cost Centre Description Here","Curriculum: not in use",Expenditure!A305)</f>
        <v>Curriculum: not in use</v>
      </c>
      <c r="B101" s="578">
        <f>Expenditure!F308</f>
        <v>0</v>
      </c>
      <c r="C101" s="725"/>
      <c r="D101" s="723" t="str">
        <f>IF(Expenditure!A557="Add Cost Centre Description Here","Other costs: not in use",Expenditure!A557)</f>
        <v>Other costs: not in use</v>
      </c>
      <c r="E101" s="788">
        <f>Expenditure!F560</f>
        <v>0</v>
      </c>
      <c r="F101" s="972" t="str">
        <f t="shared" si="7"/>
        <v/>
      </c>
      <c r="G101" s="412"/>
      <c r="H101" s="412"/>
      <c r="I101" s="987">
        <f t="shared" si="10"/>
        <v>0</v>
      </c>
      <c r="J101" s="412"/>
      <c r="K101" s="412"/>
      <c r="L101" s="412"/>
      <c r="M101" s="412"/>
      <c r="N101" s="412"/>
      <c r="O101" s="412"/>
      <c r="P101" s="412"/>
      <c r="Q101" s="412"/>
      <c r="R101" s="412"/>
      <c r="S101" s="412"/>
      <c r="T101" s="412"/>
      <c r="U101" s="412"/>
      <c r="V101" s="412"/>
      <c r="W101" s="412"/>
      <c r="X101" s="412"/>
      <c r="Y101" s="57"/>
      <c r="Z101" s="57"/>
      <c r="AA101" s="57"/>
      <c r="AB101" s="57"/>
      <c r="AC101" s="57"/>
      <c r="AD101" s="57"/>
      <c r="AE101" s="57"/>
      <c r="AF101" s="57"/>
    </row>
    <row r="102" spans="1:32" ht="18" customHeight="1" x14ac:dyDescent="0.2">
      <c r="A102" s="722" t="str">
        <f>IF(Expenditure!A310="Curriculum: Add Cost Centre Description Here","Curriculum: not in use",Expenditure!A310)</f>
        <v>Curriculum: not in use</v>
      </c>
      <c r="B102" s="578">
        <f>Expenditure!F313</f>
        <v>0</v>
      </c>
      <c r="C102" s="725"/>
      <c r="D102" s="723" t="str">
        <f>IF(Expenditure!A562="Add Cost Centre Description Here","Other costs: not in use",Expenditure!A562)</f>
        <v>Other costs: not in use</v>
      </c>
      <c r="E102" s="788">
        <f>Expenditure!F565</f>
        <v>0</v>
      </c>
      <c r="F102" s="972" t="str">
        <f t="shared" si="7"/>
        <v/>
      </c>
      <c r="G102" s="412"/>
      <c r="H102" s="412"/>
      <c r="I102" s="987">
        <f t="shared" si="10"/>
        <v>0</v>
      </c>
      <c r="J102" s="412"/>
      <c r="K102" s="412"/>
      <c r="L102" s="412"/>
      <c r="M102" s="412"/>
      <c r="N102" s="412"/>
      <c r="O102" s="412"/>
      <c r="P102" s="412"/>
      <c r="Q102" s="412"/>
      <c r="R102" s="412"/>
      <c r="S102" s="412"/>
      <c r="T102" s="412"/>
      <c r="U102" s="412"/>
      <c r="V102" s="412"/>
      <c r="W102" s="412"/>
      <c r="X102" s="412"/>
      <c r="Y102" s="57"/>
      <c r="Z102" s="57"/>
      <c r="AA102" s="57"/>
      <c r="AB102" s="57"/>
      <c r="AC102" s="57"/>
      <c r="AD102" s="57"/>
      <c r="AE102" s="57"/>
      <c r="AF102" s="57"/>
    </row>
    <row r="103" spans="1:32" ht="18" customHeight="1" x14ac:dyDescent="0.2">
      <c r="A103" s="722" t="str">
        <f>IF(Expenditure!A315="Curriculum: Add Cost Centre Description Here","Curriculum: not in use",Expenditure!A315)</f>
        <v>Curriculum: not in use</v>
      </c>
      <c r="B103" s="578">
        <f>Expenditure!F318</f>
        <v>0</v>
      </c>
      <c r="C103" s="725"/>
      <c r="D103" s="723" t="str">
        <f>IF(Expenditure!A567="Add Cost Centre Description Here","Other costs: not in use",Expenditure!A567)</f>
        <v>Other costs: not in use</v>
      </c>
      <c r="E103" s="788">
        <f>Expenditure!F570</f>
        <v>0</v>
      </c>
      <c r="F103" s="972" t="str">
        <f t="shared" si="7"/>
        <v/>
      </c>
      <c r="G103" s="412"/>
      <c r="H103" s="412"/>
      <c r="I103" s="987">
        <f t="shared" si="10"/>
        <v>0</v>
      </c>
      <c r="J103" s="412"/>
      <c r="K103" s="412"/>
      <c r="L103" s="412"/>
      <c r="M103" s="412"/>
      <c r="N103" s="412"/>
      <c r="O103" s="412"/>
      <c r="P103" s="412"/>
      <c r="Q103" s="412"/>
      <c r="R103" s="412"/>
      <c r="S103" s="412"/>
      <c r="T103" s="412"/>
      <c r="U103" s="412"/>
      <c r="V103" s="412"/>
      <c r="W103" s="412"/>
      <c r="X103" s="412"/>
      <c r="Y103" s="57"/>
      <c r="Z103" s="57"/>
      <c r="AA103" s="57"/>
      <c r="AB103" s="57"/>
      <c r="AC103" s="57"/>
      <c r="AD103" s="57"/>
      <c r="AE103" s="57"/>
      <c r="AF103" s="57"/>
    </row>
    <row r="104" spans="1:32" ht="18" customHeight="1" x14ac:dyDescent="0.2">
      <c r="A104" s="618" t="s">
        <v>533</v>
      </c>
      <c r="B104" s="771"/>
      <c r="C104" s="771"/>
      <c r="D104" s="725"/>
      <c r="E104" s="789">
        <f>SUM(B60:B103)+SUM(E60:E103)</f>
        <v>545385.19999999995</v>
      </c>
      <c r="F104" s="980"/>
      <c r="G104" s="412"/>
      <c r="H104" s="412"/>
      <c r="J104" s="412"/>
      <c r="K104" s="412"/>
      <c r="L104" s="412"/>
      <c r="M104" s="412"/>
      <c r="N104" s="412"/>
      <c r="O104" s="412"/>
      <c r="P104" s="412"/>
      <c r="Q104" s="412"/>
      <c r="R104" s="412"/>
      <c r="S104" s="412"/>
      <c r="T104" s="412"/>
      <c r="U104" s="412"/>
      <c r="V104" s="412"/>
      <c r="W104" s="412"/>
      <c r="X104" s="412"/>
      <c r="Y104" s="57"/>
      <c r="Z104" s="57"/>
      <c r="AA104" s="57"/>
      <c r="AB104" s="57"/>
      <c r="AC104" s="57"/>
      <c r="AD104" s="57"/>
      <c r="AE104" s="57"/>
      <c r="AF104" s="57"/>
    </row>
    <row r="105" spans="1:32" ht="3" customHeight="1" thickBot="1" x14ac:dyDescent="0.25">
      <c r="A105" s="56"/>
      <c r="B105" s="177"/>
      <c r="C105" s="177"/>
      <c r="D105" s="54"/>
      <c r="E105" s="184"/>
      <c r="F105" s="980"/>
      <c r="G105" s="412"/>
      <c r="H105" s="412"/>
      <c r="J105" s="412"/>
      <c r="K105" s="412"/>
      <c r="L105" s="412"/>
      <c r="M105" s="412"/>
      <c r="N105" s="412"/>
      <c r="O105" s="412"/>
      <c r="P105" s="412"/>
      <c r="Q105" s="412"/>
      <c r="R105" s="412"/>
      <c r="S105" s="412"/>
      <c r="T105" s="412"/>
      <c r="U105" s="412"/>
      <c r="V105" s="412"/>
      <c r="W105" s="412"/>
      <c r="X105" s="412"/>
      <c r="Y105" s="57"/>
      <c r="Z105" s="57"/>
      <c r="AA105" s="57"/>
      <c r="AB105" s="57"/>
      <c r="AC105" s="57"/>
      <c r="AD105" s="57"/>
      <c r="AE105" s="57"/>
      <c r="AF105" s="57"/>
    </row>
    <row r="106" spans="1:32" ht="6" customHeight="1" thickBot="1" x14ac:dyDescent="0.25">
      <c r="A106" s="42"/>
      <c r="B106" s="42"/>
      <c r="C106" s="42"/>
      <c r="D106" s="42"/>
      <c r="E106" s="42"/>
      <c r="F106" s="980"/>
      <c r="G106" s="412"/>
      <c r="H106" s="412"/>
      <c r="J106" s="412"/>
      <c r="K106" s="412"/>
      <c r="L106" s="412"/>
      <c r="M106" s="412"/>
      <c r="N106" s="412"/>
      <c r="O106" s="412"/>
      <c r="P106" s="412"/>
      <c r="Q106" s="412"/>
      <c r="R106" s="412"/>
      <c r="S106" s="412"/>
      <c r="T106" s="412"/>
      <c r="U106" s="412"/>
      <c r="V106" s="412"/>
      <c r="W106" s="412"/>
      <c r="X106" s="412"/>
      <c r="Y106" s="57"/>
      <c r="Z106" s="57"/>
      <c r="AA106" s="57"/>
      <c r="AB106" s="57"/>
      <c r="AC106" s="57"/>
      <c r="AD106" s="57"/>
      <c r="AE106" s="57"/>
      <c r="AF106" s="57"/>
    </row>
    <row r="107" spans="1:32" ht="15" customHeight="1" x14ac:dyDescent="0.25">
      <c r="A107" s="591" t="s">
        <v>545</v>
      </c>
      <c r="B107" s="178"/>
      <c r="C107" s="178"/>
      <c r="D107" s="49"/>
      <c r="E107" s="50"/>
      <c r="F107" s="980"/>
      <c r="G107" s="412"/>
      <c r="H107" s="412"/>
      <c r="J107" s="412"/>
      <c r="K107" s="412"/>
      <c r="L107" s="412"/>
      <c r="M107" s="412"/>
      <c r="N107" s="412"/>
      <c r="O107" s="412"/>
      <c r="P107" s="412"/>
      <c r="Q107" s="412"/>
      <c r="R107" s="412"/>
      <c r="S107" s="412"/>
      <c r="T107" s="412"/>
      <c r="U107" s="412"/>
      <c r="V107" s="412"/>
      <c r="W107" s="412"/>
      <c r="X107" s="412"/>
      <c r="Y107" s="57"/>
      <c r="Z107" s="57"/>
      <c r="AA107" s="57"/>
      <c r="AB107" s="57"/>
      <c r="AC107" s="57"/>
      <c r="AD107" s="57"/>
      <c r="AE107" s="57"/>
      <c r="AF107" s="57"/>
    </row>
    <row r="108" spans="1:32" ht="15" customHeight="1" x14ac:dyDescent="0.2">
      <c r="A108" s="619" t="s">
        <v>257</v>
      </c>
      <c r="B108" s="725"/>
      <c r="C108" s="725"/>
      <c r="D108" s="726"/>
      <c r="E108" s="727">
        <f>E29</f>
        <v>476733</v>
      </c>
      <c r="F108" s="980"/>
      <c r="G108" s="412"/>
      <c r="H108" s="412"/>
      <c r="J108" s="412"/>
      <c r="K108" s="412"/>
      <c r="L108" s="412"/>
      <c r="M108" s="412"/>
      <c r="N108" s="412"/>
      <c r="O108" s="412"/>
      <c r="P108" s="412"/>
      <c r="Q108" s="412"/>
      <c r="R108" s="412"/>
      <c r="S108" s="412"/>
      <c r="T108" s="412"/>
      <c r="U108" s="412"/>
      <c r="V108" s="412"/>
      <c r="W108" s="412"/>
      <c r="X108" s="412"/>
      <c r="Y108" s="57"/>
      <c r="Z108" s="57"/>
      <c r="AA108" s="57"/>
      <c r="AB108" s="57"/>
      <c r="AC108" s="57"/>
      <c r="AD108" s="57"/>
      <c r="AE108" s="57"/>
      <c r="AF108" s="57"/>
    </row>
    <row r="109" spans="1:32" ht="15" customHeight="1" x14ac:dyDescent="0.2">
      <c r="A109" s="617" t="s">
        <v>258</v>
      </c>
      <c r="B109" s="728"/>
      <c r="C109" s="728"/>
      <c r="D109" s="729"/>
      <c r="E109" s="730">
        <f>E46</f>
        <v>17628</v>
      </c>
      <c r="F109" s="980"/>
      <c r="G109" s="412"/>
      <c r="H109" s="412"/>
      <c r="J109" s="412"/>
      <c r="K109" s="412"/>
      <c r="L109" s="412"/>
      <c r="M109" s="412"/>
      <c r="N109" s="412"/>
      <c r="O109" s="412"/>
      <c r="P109" s="412"/>
      <c r="Q109" s="412"/>
      <c r="R109" s="412"/>
      <c r="S109" s="412"/>
      <c r="T109" s="412"/>
      <c r="U109" s="412"/>
      <c r="V109" s="412"/>
      <c r="W109" s="412"/>
      <c r="X109" s="412"/>
      <c r="Y109" s="57"/>
      <c r="Z109" s="57"/>
      <c r="AA109" s="57"/>
      <c r="AB109" s="57"/>
      <c r="AC109" s="57"/>
      <c r="AD109" s="57"/>
      <c r="AE109" s="57"/>
      <c r="AF109" s="57"/>
    </row>
    <row r="110" spans="1:32" ht="15" customHeight="1" x14ac:dyDescent="0.2">
      <c r="A110" s="617" t="s">
        <v>259</v>
      </c>
      <c r="B110" s="728"/>
      <c r="C110" s="728"/>
      <c r="D110" s="729"/>
      <c r="E110" s="731">
        <f>E54</f>
        <v>62180</v>
      </c>
      <c r="F110" s="980"/>
      <c r="G110" s="412"/>
      <c r="H110" s="412"/>
      <c r="J110" s="412"/>
      <c r="K110" s="412"/>
      <c r="L110" s="412"/>
      <c r="M110" s="412"/>
      <c r="N110" s="412"/>
      <c r="O110" s="412"/>
      <c r="P110" s="412"/>
      <c r="Q110" s="412"/>
      <c r="R110" s="412"/>
      <c r="S110" s="412"/>
      <c r="T110" s="412"/>
      <c r="U110" s="412"/>
      <c r="V110" s="412"/>
      <c r="W110" s="412"/>
      <c r="X110" s="412"/>
      <c r="Y110" s="57"/>
      <c r="Z110" s="57"/>
      <c r="AA110" s="57"/>
      <c r="AB110" s="57"/>
      <c r="AC110" s="57"/>
      <c r="AD110" s="57"/>
      <c r="AE110" s="57"/>
      <c r="AF110" s="57"/>
    </row>
    <row r="111" spans="1:32" ht="15" customHeight="1" x14ac:dyDescent="0.2">
      <c r="A111" s="732"/>
      <c r="B111" s="733"/>
      <c r="C111" s="733"/>
      <c r="D111" s="733" t="s">
        <v>256</v>
      </c>
      <c r="E111" s="734">
        <f>SUM(E108:E110)</f>
        <v>556541</v>
      </c>
      <c r="F111" s="980"/>
      <c r="G111" s="412"/>
      <c r="H111" s="412"/>
      <c r="J111" s="412"/>
      <c r="K111" s="412"/>
      <c r="L111" s="412"/>
      <c r="M111" s="412"/>
      <c r="N111" s="412"/>
      <c r="O111" s="412"/>
      <c r="P111" s="412"/>
      <c r="Q111" s="412"/>
      <c r="R111" s="412"/>
      <c r="S111" s="412"/>
      <c r="T111" s="412"/>
      <c r="U111" s="412"/>
      <c r="V111" s="412"/>
      <c r="W111" s="412"/>
      <c r="X111" s="412"/>
      <c r="Y111" s="57"/>
      <c r="Z111" s="57"/>
      <c r="AA111" s="57"/>
      <c r="AB111" s="57"/>
      <c r="AC111" s="57"/>
      <c r="AD111" s="57"/>
      <c r="AE111" s="57"/>
      <c r="AF111" s="57"/>
    </row>
    <row r="112" spans="1:32" ht="15" customHeight="1" x14ac:dyDescent="0.2">
      <c r="A112" s="735" t="s">
        <v>254</v>
      </c>
      <c r="B112" s="736"/>
      <c r="C112" s="736"/>
      <c r="D112" s="736"/>
      <c r="E112" s="737">
        <f>E104</f>
        <v>545385.19999999995</v>
      </c>
      <c r="F112" s="980"/>
      <c r="G112" s="412"/>
      <c r="H112" s="412"/>
      <c r="J112" s="412"/>
      <c r="K112" s="412"/>
      <c r="L112" s="412"/>
      <c r="M112" s="412"/>
      <c r="N112" s="412"/>
      <c r="O112" s="412"/>
      <c r="P112" s="412"/>
      <c r="Q112" s="412"/>
      <c r="R112" s="412"/>
      <c r="S112" s="412"/>
      <c r="T112" s="412"/>
      <c r="U112" s="412"/>
      <c r="V112" s="412"/>
      <c r="W112" s="412"/>
      <c r="X112" s="412"/>
      <c r="Y112" s="57"/>
      <c r="Z112" s="57"/>
      <c r="AA112" s="57"/>
      <c r="AB112" s="57"/>
      <c r="AC112" s="57"/>
      <c r="AD112" s="57"/>
      <c r="AE112" s="57"/>
      <c r="AF112" s="57"/>
    </row>
    <row r="113" spans="1:32" ht="15" customHeight="1" x14ac:dyDescent="0.2">
      <c r="A113" s="617" t="str">
        <f>"             Contingencies for potential use in "&amp;'Fin.Yr Lookups'!A5</f>
        <v xml:space="preserve">             Contingencies for potential use in 2020-21</v>
      </c>
      <c r="B113" s="728"/>
      <c r="C113" s="728"/>
      <c r="D113" s="729"/>
      <c r="E113" s="730">
        <f>E131</f>
        <v>11156</v>
      </c>
      <c r="F113" s="980"/>
      <c r="M113" s="412"/>
      <c r="N113" s="412"/>
      <c r="O113" s="412"/>
      <c r="P113" s="412"/>
      <c r="Q113" s="412"/>
      <c r="R113" s="412"/>
      <c r="S113" s="412"/>
      <c r="T113" s="412"/>
      <c r="U113" s="412"/>
      <c r="V113" s="412"/>
      <c r="W113" s="412"/>
      <c r="X113" s="412"/>
      <c r="Y113" s="57"/>
      <c r="Z113" s="57"/>
      <c r="AA113" s="57"/>
      <c r="AB113" s="57"/>
      <c r="AC113" s="57"/>
      <c r="AD113" s="57"/>
      <c r="AE113" s="57"/>
      <c r="AF113" s="57"/>
    </row>
    <row r="114" spans="1:32" ht="15" customHeight="1" x14ac:dyDescent="0.2">
      <c r="A114" s="617" t="str">
        <f>"             Planned Contribution to "&amp;'Fin.Yr Lookups'!A29&amp;" Opening Balance"</f>
        <v xml:space="preserve">             Planned Contribution to 2021-22 Opening Balance</v>
      </c>
      <c r="B114" s="728"/>
      <c r="C114" s="728"/>
      <c r="D114" s="729"/>
      <c r="E114" s="731">
        <f>E141</f>
        <v>0</v>
      </c>
      <c r="F114" s="980"/>
      <c r="M114" s="412"/>
      <c r="N114" s="412"/>
      <c r="O114" s="412"/>
      <c r="P114" s="412"/>
      <c r="Q114" s="412"/>
      <c r="R114" s="412"/>
      <c r="S114" s="412"/>
      <c r="T114" s="412"/>
      <c r="U114" s="412"/>
      <c r="V114" s="412"/>
      <c r="W114" s="412"/>
      <c r="X114" s="412"/>
      <c r="Y114" s="57"/>
      <c r="Z114" s="57"/>
      <c r="AA114" s="57"/>
      <c r="AB114" s="57"/>
      <c r="AC114" s="57"/>
      <c r="AD114" s="57"/>
      <c r="AE114" s="57"/>
      <c r="AF114" s="57"/>
    </row>
    <row r="115" spans="1:32" ht="15" customHeight="1" x14ac:dyDescent="0.2">
      <c r="A115" s="732"/>
      <c r="B115" s="733"/>
      <c r="C115" s="733"/>
      <c r="D115" s="738" t="s">
        <v>255</v>
      </c>
      <c r="E115" s="739">
        <f>SUM(E112:E114)</f>
        <v>556541.19999999995</v>
      </c>
      <c r="F115" s="997"/>
      <c r="G115" s="998"/>
      <c r="H115" s="998"/>
      <c r="M115" s="412"/>
      <c r="N115" s="412"/>
      <c r="O115" s="412"/>
      <c r="P115" s="412"/>
      <c r="Q115" s="412"/>
      <c r="R115" s="412"/>
      <c r="S115" s="412"/>
      <c r="T115" s="412"/>
      <c r="U115" s="412"/>
      <c r="V115" s="412"/>
      <c r="W115" s="412"/>
      <c r="X115" s="412"/>
      <c r="Y115" s="57"/>
      <c r="Z115" s="57"/>
      <c r="AA115" s="57"/>
      <c r="AB115" s="57"/>
      <c r="AC115" s="57"/>
      <c r="AD115" s="57"/>
      <c r="AE115" s="57"/>
      <c r="AF115" s="57"/>
    </row>
    <row r="116" spans="1:32" x14ac:dyDescent="0.2">
      <c r="A116" s="51"/>
      <c r="B116" s="42"/>
      <c r="C116" s="42"/>
      <c r="D116" s="42"/>
      <c r="E116" s="221"/>
      <c r="F116" s="997"/>
      <c r="G116" s="998"/>
      <c r="H116" s="998"/>
      <c r="I116" s="989"/>
      <c r="J116" s="415"/>
      <c r="K116" s="415"/>
      <c r="L116" s="415"/>
      <c r="M116" s="412"/>
      <c r="N116" s="412"/>
      <c r="O116" s="412"/>
      <c r="P116" s="412"/>
      <c r="Q116" s="412"/>
      <c r="R116" s="412"/>
      <c r="S116" s="412"/>
      <c r="T116" s="412"/>
      <c r="U116" s="412"/>
      <c r="V116" s="412"/>
      <c r="W116" s="412"/>
      <c r="X116" s="412"/>
      <c r="Y116" s="57"/>
      <c r="Z116" s="57"/>
      <c r="AA116" s="57"/>
      <c r="AB116" s="57"/>
      <c r="AC116" s="57"/>
      <c r="AD116" s="57"/>
      <c r="AE116" s="57"/>
      <c r="AF116" s="57"/>
    </row>
    <row r="117" spans="1:32" ht="16.5" thickBot="1" x14ac:dyDescent="0.3">
      <c r="A117" s="1027" t="str">
        <f>IF($E117&gt;0,"Warning: Not all expenditure has been allocated     ",IF($E117=0,"Gives a Balanced Budget     ","Deficit budget. Please contact the Schools Finance Monitoring Team"))</f>
        <v xml:space="preserve">Gives a Balanced Budget     </v>
      </c>
      <c r="B117" s="1027"/>
      <c r="C117" s="1027"/>
      <c r="D117" s="1027"/>
      <c r="E117" s="790">
        <f>ROUND(E111-E115,0)</f>
        <v>0</v>
      </c>
      <c r="F117" s="997" t="str">
        <f>IF(E117&lt;0,"Deficit budget set","")</f>
        <v/>
      </c>
      <c r="G117" s="998"/>
      <c r="H117" s="998"/>
      <c r="I117" s="989"/>
      <c r="J117" s="415"/>
      <c r="K117" s="415"/>
      <c r="L117" s="415"/>
      <c r="M117" s="412"/>
      <c r="N117" s="412"/>
      <c r="O117" s="412"/>
      <c r="P117" s="412"/>
      <c r="Q117" s="412"/>
      <c r="R117" s="412"/>
      <c r="S117" s="412"/>
      <c r="T117" s="412"/>
      <c r="U117" s="412"/>
      <c r="V117" s="412"/>
      <c r="W117" s="412"/>
      <c r="X117" s="412"/>
      <c r="Y117" s="57"/>
      <c r="Z117" s="57"/>
      <c r="AA117" s="57"/>
      <c r="AB117" s="57"/>
      <c r="AC117" s="57"/>
      <c r="AD117" s="57"/>
      <c r="AE117" s="57"/>
      <c r="AF117" s="57"/>
    </row>
    <row r="118" spans="1:32" ht="6" customHeight="1" thickTop="1" thickBot="1" x14ac:dyDescent="0.25">
      <c r="A118" s="53"/>
      <c r="B118" s="54"/>
      <c r="C118" s="54"/>
      <c r="D118" s="54"/>
      <c r="E118" s="55"/>
      <c r="F118" s="982"/>
      <c r="G118" s="415"/>
      <c r="H118" s="415"/>
      <c r="I118" s="989"/>
      <c r="J118" s="415"/>
      <c r="K118" s="415"/>
      <c r="L118" s="415"/>
      <c r="M118" s="412"/>
      <c r="N118" s="412"/>
      <c r="O118" s="412"/>
      <c r="P118" s="412"/>
      <c r="Q118" s="412"/>
      <c r="R118" s="412"/>
      <c r="S118" s="412"/>
      <c r="T118" s="412"/>
      <c r="U118" s="412"/>
      <c r="V118" s="412"/>
      <c r="W118" s="412"/>
      <c r="X118" s="412"/>
      <c r="Y118" s="57"/>
      <c r="Z118" s="57"/>
      <c r="AA118" s="57"/>
      <c r="AB118" s="57"/>
      <c r="AC118" s="57"/>
      <c r="AD118" s="57"/>
      <c r="AE118" s="57"/>
      <c r="AF118" s="57"/>
    </row>
    <row r="119" spans="1:32" ht="6" customHeight="1" thickBot="1" x14ac:dyDescent="0.25">
      <c r="A119" s="51"/>
      <c r="B119" s="42"/>
      <c r="C119" s="42"/>
      <c r="D119" s="42"/>
      <c r="E119" s="52"/>
      <c r="F119" s="983"/>
      <c r="G119" s="415"/>
      <c r="H119" s="415"/>
      <c r="I119" s="989"/>
      <c r="J119" s="415"/>
      <c r="K119" s="415"/>
      <c r="L119" s="415"/>
      <c r="M119" s="412"/>
      <c r="N119" s="412"/>
      <c r="O119" s="412"/>
      <c r="P119" s="412"/>
      <c r="Q119" s="412"/>
      <c r="R119" s="412"/>
      <c r="S119" s="412"/>
      <c r="T119" s="412"/>
      <c r="U119" s="412"/>
      <c r="V119" s="412"/>
      <c r="W119" s="412"/>
      <c r="X119" s="412"/>
      <c r="Y119" s="57"/>
      <c r="Z119" s="57"/>
      <c r="AA119" s="57"/>
      <c r="AB119" s="57"/>
      <c r="AC119" s="57"/>
      <c r="AD119" s="57"/>
      <c r="AE119" s="57"/>
      <c r="AF119" s="57"/>
    </row>
    <row r="120" spans="1:32" ht="15" customHeight="1" x14ac:dyDescent="0.25">
      <c r="A120" s="584" t="s">
        <v>540</v>
      </c>
      <c r="B120" s="179"/>
      <c r="C120" s="179"/>
      <c r="D120" s="49"/>
      <c r="E120" s="50"/>
      <c r="F120" s="1025"/>
      <c r="G120" s="1026"/>
      <c r="H120" s="1026"/>
      <c r="I120" s="991"/>
      <c r="J120" s="974"/>
      <c r="K120" s="974"/>
      <c r="M120" s="412"/>
      <c r="N120" s="412"/>
      <c r="O120" s="412"/>
      <c r="P120" s="412"/>
      <c r="Q120" s="412"/>
      <c r="R120" s="412"/>
      <c r="S120" s="412"/>
      <c r="T120" s="412"/>
      <c r="U120" s="412"/>
      <c r="V120" s="412"/>
      <c r="W120" s="412"/>
      <c r="X120" s="412"/>
      <c r="Y120" s="57"/>
      <c r="Z120" s="57"/>
      <c r="AA120" s="57"/>
      <c r="AB120" s="57"/>
      <c r="AC120" s="57"/>
      <c r="AD120" s="57"/>
      <c r="AE120" s="57"/>
      <c r="AF120" s="57"/>
    </row>
    <row r="121" spans="1:32" ht="3" customHeight="1" x14ac:dyDescent="0.2">
      <c r="A121" s="51"/>
      <c r="B121" s="42"/>
      <c r="C121" s="42"/>
      <c r="D121" s="42"/>
      <c r="E121" s="52"/>
      <c r="F121" s="1025"/>
      <c r="G121" s="1026"/>
      <c r="H121" s="1026"/>
      <c r="I121" s="991"/>
      <c r="J121" s="974"/>
      <c r="K121" s="974"/>
      <c r="M121" s="412"/>
      <c r="N121" s="412"/>
      <c r="O121" s="412"/>
      <c r="P121" s="412"/>
      <c r="Q121" s="412"/>
      <c r="R121" s="412"/>
      <c r="S121" s="412"/>
      <c r="T121" s="412"/>
      <c r="U121" s="412"/>
      <c r="V121" s="412"/>
      <c r="W121" s="412"/>
      <c r="X121" s="412"/>
      <c r="Y121" s="57"/>
      <c r="Z121" s="57"/>
      <c r="AA121" s="57"/>
      <c r="AB121" s="57"/>
      <c r="AC121" s="57"/>
      <c r="AD121" s="57"/>
      <c r="AE121" s="57"/>
      <c r="AF121" s="57"/>
    </row>
    <row r="122" spans="1:32" ht="15" customHeight="1" x14ac:dyDescent="0.2">
      <c r="A122" s="740" t="s">
        <v>536</v>
      </c>
      <c r="B122" s="741"/>
      <c r="C122" s="741"/>
      <c r="D122" s="742">
        <f>Income!E63-Expenditure!F573</f>
        <v>11155.800000000047</v>
      </c>
      <c r="E122" s="743"/>
      <c r="F122" s="1025"/>
      <c r="G122" s="1026"/>
      <c r="H122" s="1026"/>
      <c r="I122" s="991"/>
      <c r="J122" s="974"/>
      <c r="K122" s="974"/>
      <c r="M122" s="412"/>
      <c r="N122" s="412"/>
      <c r="O122" s="412"/>
      <c r="P122" s="412"/>
      <c r="Q122" s="412"/>
      <c r="R122" s="412"/>
      <c r="S122" s="412"/>
      <c r="T122" s="412"/>
      <c r="U122" s="412"/>
      <c r="V122" s="412"/>
      <c r="W122" s="412"/>
      <c r="X122" s="412"/>
      <c r="Y122" s="57"/>
      <c r="Z122" s="57"/>
      <c r="AA122" s="57"/>
      <c r="AB122" s="57"/>
      <c r="AC122" s="57"/>
      <c r="AD122" s="57"/>
      <c r="AE122" s="57"/>
      <c r="AF122" s="57"/>
    </row>
    <row r="123" spans="1:32" ht="3" customHeight="1" x14ac:dyDescent="0.2">
      <c r="A123" s="692"/>
      <c r="B123" s="744"/>
      <c r="C123" s="744"/>
      <c r="D123" s="725"/>
      <c r="E123" s="743"/>
      <c r="F123" s="1025"/>
      <c r="G123" s="1026"/>
      <c r="H123" s="1026"/>
      <c r="I123" s="991"/>
      <c r="J123" s="974"/>
      <c r="K123" s="974"/>
      <c r="M123" s="412"/>
      <c r="N123" s="412"/>
      <c r="O123" s="412"/>
      <c r="P123" s="412"/>
      <c r="Q123" s="412"/>
      <c r="R123" s="412"/>
      <c r="S123" s="412"/>
      <c r="T123" s="412"/>
      <c r="U123" s="412"/>
      <c r="V123" s="412"/>
      <c r="W123" s="412"/>
      <c r="X123" s="412"/>
      <c r="Y123" s="57"/>
      <c r="Z123" s="57"/>
      <c r="AA123" s="57"/>
      <c r="AB123" s="57"/>
      <c r="AC123" s="57"/>
      <c r="AD123" s="57"/>
      <c r="AE123" s="57"/>
      <c r="AF123" s="57"/>
    </row>
    <row r="124" spans="1:32" ht="15" customHeight="1" x14ac:dyDescent="0.2">
      <c r="A124" s="692" t="s">
        <v>537</v>
      </c>
      <c r="B124" s="744"/>
      <c r="C124" s="744"/>
      <c r="D124" s="725"/>
      <c r="E124" s="745" t="s">
        <v>531</v>
      </c>
      <c r="F124" s="1025"/>
      <c r="G124" s="1026"/>
      <c r="H124" s="1026"/>
      <c r="I124" s="991"/>
      <c r="J124" s="974"/>
      <c r="K124" s="974"/>
      <c r="M124" s="412"/>
      <c r="N124" s="412"/>
      <c r="O124" s="412"/>
      <c r="P124" s="412"/>
      <c r="Q124" s="412"/>
      <c r="R124" s="412"/>
      <c r="S124" s="412"/>
      <c r="T124" s="412"/>
      <c r="U124" s="412"/>
      <c r="V124" s="412"/>
      <c r="W124" s="412"/>
      <c r="X124" s="412"/>
      <c r="Y124" s="57"/>
      <c r="Z124" s="57"/>
      <c r="AA124" s="57"/>
      <c r="AB124" s="57"/>
      <c r="AC124" s="57"/>
      <c r="AD124" s="57"/>
      <c r="AE124" s="57"/>
      <c r="AF124" s="57"/>
    </row>
    <row r="125" spans="1:32" ht="3" customHeight="1" x14ac:dyDescent="0.2">
      <c r="A125" s="619"/>
      <c r="B125" s="725"/>
      <c r="C125" s="725"/>
      <c r="D125" s="725"/>
      <c r="E125" s="743"/>
      <c r="F125" s="1025"/>
      <c r="G125" s="1026"/>
      <c r="H125" s="1026"/>
      <c r="I125" s="991"/>
      <c r="J125" s="974"/>
      <c r="K125" s="974"/>
      <c r="M125" s="412"/>
      <c r="N125" s="412"/>
      <c r="O125" s="412"/>
      <c r="P125" s="412"/>
      <c r="Q125" s="412"/>
      <c r="R125" s="412"/>
      <c r="S125" s="412"/>
      <c r="T125" s="412"/>
      <c r="U125" s="412"/>
      <c r="V125" s="412"/>
      <c r="W125" s="412"/>
      <c r="X125" s="412"/>
      <c r="Y125" s="57"/>
      <c r="Z125" s="57"/>
      <c r="AA125" s="57"/>
      <c r="AB125" s="57"/>
      <c r="AC125" s="57"/>
      <c r="AD125" s="57"/>
      <c r="AE125" s="57"/>
      <c r="AF125" s="57"/>
    </row>
    <row r="126" spans="1:32" ht="15" customHeight="1" x14ac:dyDescent="0.2">
      <c r="A126" s="618" t="str">
        <f>"          Contingencies "&amp;'Fin.Yr Lookups'!A5</f>
        <v xml:space="preserve">          Contingencies 2020-21</v>
      </c>
      <c r="B126" s="746" t="s">
        <v>539</v>
      </c>
      <c r="C126" s="188"/>
      <c r="D126" s="747"/>
      <c r="E126" s="748">
        <f>Expenditure!F578</f>
        <v>11156</v>
      </c>
      <c r="F126" s="1025"/>
      <c r="G126" s="1026"/>
      <c r="H126" s="1026"/>
      <c r="I126" s="991"/>
      <c r="J126" s="974"/>
      <c r="K126" s="974"/>
      <c r="M126" s="412"/>
      <c r="N126" s="412"/>
      <c r="O126" s="412"/>
      <c r="P126" s="412"/>
      <c r="Q126" s="412"/>
      <c r="R126" s="412"/>
      <c r="S126" s="412"/>
      <c r="T126" s="412"/>
      <c r="U126" s="412"/>
      <c r="V126" s="412"/>
      <c r="W126" s="412"/>
      <c r="X126" s="412"/>
      <c r="Y126" s="57"/>
      <c r="Z126" s="57"/>
      <c r="AA126" s="57"/>
      <c r="AB126" s="57"/>
      <c r="AC126" s="57"/>
      <c r="AD126" s="57"/>
      <c r="AE126" s="57"/>
      <c r="AF126" s="57"/>
    </row>
    <row r="127" spans="1:32" ht="15" customHeight="1" x14ac:dyDescent="0.2">
      <c r="A127" s="619"/>
      <c r="B127" s="749" t="str">
        <f>Expenditure!A579</f>
        <v>Other (please enter description)</v>
      </c>
      <c r="C127" s="750"/>
      <c r="D127" s="729"/>
      <c r="E127" s="751">
        <f>Expenditure!F579</f>
        <v>0</v>
      </c>
      <c r="F127" s="1025"/>
      <c r="G127" s="1026"/>
      <c r="H127" s="1026"/>
      <c r="I127" s="991"/>
      <c r="J127" s="974"/>
      <c r="K127" s="974"/>
      <c r="M127" s="412"/>
      <c r="N127" s="412"/>
      <c r="O127" s="412"/>
      <c r="P127" s="412"/>
      <c r="Q127" s="412"/>
      <c r="R127" s="412"/>
      <c r="S127" s="412"/>
      <c r="T127" s="412"/>
      <c r="U127" s="412"/>
      <c r="V127" s="412"/>
      <c r="W127" s="412"/>
      <c r="X127" s="412"/>
      <c r="Y127" s="57"/>
      <c r="Z127" s="57"/>
      <c r="AA127" s="57"/>
      <c r="AB127" s="57"/>
      <c r="AC127" s="57"/>
      <c r="AD127" s="57"/>
      <c r="AE127" s="57"/>
      <c r="AF127" s="57"/>
    </row>
    <row r="128" spans="1:32" ht="15" customHeight="1" x14ac:dyDescent="0.2">
      <c r="A128" s="619"/>
      <c r="B128" s="749" t="str">
        <f>Expenditure!A580</f>
        <v>Other (please enter description)</v>
      </c>
      <c r="C128" s="750"/>
      <c r="D128" s="729"/>
      <c r="E128" s="751">
        <f>Expenditure!F580</f>
        <v>0</v>
      </c>
      <c r="F128" s="1025"/>
      <c r="G128" s="1026"/>
      <c r="H128" s="1026"/>
      <c r="I128" s="991"/>
      <c r="J128" s="974"/>
      <c r="K128" s="974"/>
      <c r="M128" s="412"/>
      <c r="N128" s="412"/>
      <c r="O128" s="412"/>
      <c r="P128" s="412"/>
      <c r="Q128" s="412"/>
      <c r="R128" s="412"/>
      <c r="S128" s="412"/>
      <c r="T128" s="412"/>
      <c r="U128" s="412"/>
      <c r="V128" s="412"/>
      <c r="W128" s="412"/>
      <c r="X128" s="412"/>
      <c r="Y128" s="57"/>
      <c r="Z128" s="57"/>
      <c r="AA128" s="57"/>
      <c r="AB128" s="57"/>
      <c r="AC128" s="57"/>
      <c r="AD128" s="57"/>
      <c r="AE128" s="57"/>
      <c r="AF128" s="57"/>
    </row>
    <row r="129" spans="1:32" ht="15" customHeight="1" x14ac:dyDescent="0.2">
      <c r="A129" s="619"/>
      <c r="B129" s="749" t="str">
        <f>Expenditure!A581</f>
        <v>Other (please enter description)</v>
      </c>
      <c r="C129" s="750"/>
      <c r="D129" s="729"/>
      <c r="E129" s="751">
        <f>Expenditure!F581</f>
        <v>0</v>
      </c>
      <c r="F129" s="1025"/>
      <c r="G129" s="1026"/>
      <c r="H129" s="1026"/>
      <c r="I129" s="991"/>
      <c r="J129" s="974"/>
      <c r="K129" s="974"/>
      <c r="L129" s="412"/>
      <c r="M129" s="412"/>
      <c r="N129" s="412"/>
      <c r="O129" s="412"/>
      <c r="P129" s="412"/>
      <c r="Q129" s="412"/>
      <c r="R129" s="412"/>
      <c r="S129" s="412"/>
      <c r="T129" s="412"/>
      <c r="U129" s="412"/>
      <c r="V129" s="412"/>
      <c r="W129" s="412"/>
      <c r="X129" s="412"/>
      <c r="Y129" s="57"/>
      <c r="Z129" s="57"/>
      <c r="AA129" s="57"/>
      <c r="AB129" s="57"/>
      <c r="AC129" s="57"/>
      <c r="AD129" s="57"/>
      <c r="AE129" s="57"/>
      <c r="AF129" s="57"/>
    </row>
    <row r="130" spans="1:32" ht="15" customHeight="1" x14ac:dyDescent="0.2">
      <c r="A130" s="619"/>
      <c r="B130" s="749" t="str">
        <f>Expenditure!A582</f>
        <v>Other (please enter description)</v>
      </c>
      <c r="C130" s="750"/>
      <c r="D130" s="729"/>
      <c r="E130" s="752">
        <f>Expenditure!F582</f>
        <v>0</v>
      </c>
      <c r="F130" s="1025"/>
      <c r="G130" s="1026"/>
      <c r="H130" s="1026"/>
      <c r="I130" s="991"/>
      <c r="J130" s="974"/>
      <c r="K130" s="974"/>
      <c r="L130" s="412"/>
      <c r="M130" s="412"/>
      <c r="N130" s="412"/>
      <c r="O130" s="412"/>
      <c r="P130" s="412"/>
      <c r="Q130" s="412"/>
      <c r="R130" s="412"/>
      <c r="S130" s="412"/>
      <c r="T130" s="412"/>
      <c r="U130" s="412"/>
      <c r="V130" s="412"/>
      <c r="W130" s="412"/>
      <c r="X130" s="412"/>
      <c r="Y130" s="57"/>
      <c r="Z130" s="57"/>
      <c r="AA130" s="57"/>
      <c r="AB130" s="57"/>
      <c r="AC130" s="57"/>
      <c r="AD130" s="57"/>
      <c r="AE130" s="57"/>
      <c r="AF130" s="57"/>
    </row>
    <row r="131" spans="1:32" ht="18" customHeight="1" x14ac:dyDescent="0.2">
      <c r="A131" s="619"/>
      <c r="B131" s="753"/>
      <c r="C131" s="753"/>
      <c r="D131" s="725"/>
      <c r="E131" s="739">
        <f>Expenditure!F583</f>
        <v>11156</v>
      </c>
      <c r="F131" s="1025"/>
      <c r="G131" s="1026"/>
      <c r="H131" s="1026"/>
      <c r="I131" s="991"/>
      <c r="J131" s="974"/>
      <c r="K131" s="974"/>
      <c r="L131" s="412"/>
      <c r="M131" s="412"/>
      <c r="N131" s="412"/>
      <c r="O131" s="412"/>
      <c r="P131" s="412"/>
      <c r="Q131" s="412"/>
      <c r="R131" s="412"/>
      <c r="S131" s="412"/>
      <c r="T131" s="412"/>
      <c r="U131" s="412"/>
      <c r="V131" s="412"/>
      <c r="W131" s="412"/>
      <c r="X131" s="412"/>
      <c r="Y131" s="57"/>
      <c r="Z131" s="57"/>
      <c r="AA131" s="57"/>
      <c r="AB131" s="57"/>
      <c r="AC131" s="57"/>
      <c r="AD131" s="57"/>
      <c r="AE131" s="57"/>
      <c r="AF131" s="57"/>
    </row>
    <row r="132" spans="1:32" ht="15" customHeight="1" x14ac:dyDescent="0.2">
      <c r="A132" s="614" t="s">
        <v>260</v>
      </c>
      <c r="B132" s="180"/>
      <c r="C132" s="180"/>
      <c r="D132" s="725"/>
      <c r="E132" s="743"/>
      <c r="F132" s="972"/>
      <c r="G132" s="44"/>
      <c r="H132" s="44"/>
      <c r="I132" s="987"/>
      <c r="J132" s="44"/>
      <c r="K132" s="412"/>
      <c r="L132" s="412"/>
      <c r="M132" s="412"/>
      <c r="N132" s="412"/>
      <c r="O132" s="412"/>
      <c r="P132" s="412"/>
      <c r="Q132" s="412"/>
      <c r="R132" s="412"/>
      <c r="S132" s="412"/>
      <c r="T132" s="412"/>
      <c r="U132" s="412"/>
      <c r="V132" s="412"/>
      <c r="W132" s="412"/>
      <c r="X132" s="412"/>
      <c r="Y132" s="57"/>
      <c r="Z132" s="57"/>
      <c r="AA132" s="57"/>
      <c r="AB132" s="57"/>
      <c r="AC132" s="57"/>
      <c r="AD132" s="57"/>
      <c r="AE132" s="57"/>
      <c r="AF132" s="57"/>
    </row>
    <row r="133" spans="1:32" ht="15" customHeight="1" x14ac:dyDescent="0.2">
      <c r="A133" s="614" t="str">
        <f>"          Expenditure after "&amp;'Fin.Yr Lookups'!A5</f>
        <v xml:space="preserve">          Expenditure after 2020-21</v>
      </c>
      <c r="B133" s="746" t="str">
        <f>Expenditure!A586</f>
        <v>Other (please enter description)</v>
      </c>
      <c r="C133" s="754"/>
      <c r="D133" s="747"/>
      <c r="E133" s="748">
        <f>Expenditure!F586</f>
        <v>0</v>
      </c>
      <c r="F133" s="972"/>
      <c r="G133" s="44"/>
      <c r="H133" s="44"/>
      <c r="I133" s="987">
        <f t="shared" ref="I133:I140" si="11">IF(AND(E133&lt;&gt;0,B133="Other (please enter description)"),1,0)</f>
        <v>0</v>
      </c>
      <c r="J133" s="44"/>
      <c r="K133" s="412"/>
      <c r="L133" s="412"/>
      <c r="M133" s="412"/>
      <c r="N133" s="412"/>
      <c r="O133" s="412"/>
      <c r="P133" s="412"/>
      <c r="Q133" s="412"/>
      <c r="R133" s="412"/>
      <c r="S133" s="412"/>
      <c r="T133" s="412"/>
      <c r="U133" s="412"/>
      <c r="V133" s="412"/>
      <c r="W133" s="412"/>
      <c r="X133" s="412"/>
      <c r="Y133" s="57"/>
      <c r="Z133" s="57"/>
      <c r="AA133" s="57"/>
      <c r="AB133" s="57"/>
      <c r="AC133" s="57"/>
      <c r="AD133" s="57"/>
      <c r="AE133" s="57"/>
      <c r="AF133" s="57"/>
    </row>
    <row r="134" spans="1:32" ht="15" customHeight="1" x14ac:dyDescent="0.2">
      <c r="A134" s="619"/>
      <c r="B134" s="749" t="str">
        <f>Expenditure!A587</f>
        <v>Other (please enter description)</v>
      </c>
      <c r="C134" s="750"/>
      <c r="D134" s="729"/>
      <c r="E134" s="730">
        <f>Expenditure!F587</f>
        <v>0</v>
      </c>
      <c r="F134" s="972" t="str">
        <f t="shared" ref="F134:F140" si="12">IF(I134&gt;0,"Please enter a description in column A on the Expenditure sheet","")</f>
        <v/>
      </c>
      <c r="G134" s="44"/>
      <c r="H134" s="44"/>
      <c r="I134" s="987">
        <f t="shared" si="11"/>
        <v>0</v>
      </c>
      <c r="J134" s="44"/>
      <c r="K134" s="412"/>
      <c r="L134" s="412"/>
      <c r="M134" s="412"/>
      <c r="N134" s="412"/>
      <c r="O134" s="412"/>
      <c r="P134" s="412"/>
      <c r="Q134" s="412"/>
      <c r="R134" s="412"/>
      <c r="S134" s="412"/>
      <c r="T134" s="412"/>
      <c r="U134" s="412"/>
      <c r="V134" s="412"/>
      <c r="W134" s="412"/>
      <c r="X134" s="412"/>
      <c r="Y134" s="57"/>
      <c r="Z134" s="57"/>
      <c r="AA134" s="57"/>
      <c r="AB134" s="57"/>
      <c r="AC134" s="57"/>
      <c r="AD134" s="57"/>
      <c r="AE134" s="57"/>
      <c r="AF134" s="57"/>
    </row>
    <row r="135" spans="1:32" ht="15" customHeight="1" x14ac:dyDescent="0.2">
      <c r="A135" s="619"/>
      <c r="B135" s="749" t="str">
        <f>Expenditure!A588</f>
        <v>Other (please enter description)</v>
      </c>
      <c r="C135" s="754"/>
      <c r="D135" s="747"/>
      <c r="E135" s="748">
        <f>Expenditure!F588</f>
        <v>0</v>
      </c>
      <c r="F135" s="972" t="str">
        <f t="shared" si="12"/>
        <v/>
      </c>
      <c r="G135" s="44"/>
      <c r="H135" s="44"/>
      <c r="I135" s="987">
        <f t="shared" si="11"/>
        <v>0</v>
      </c>
      <c r="J135" s="44"/>
      <c r="K135" s="412"/>
      <c r="L135" s="412"/>
      <c r="M135" s="412"/>
      <c r="N135" s="412"/>
      <c r="O135" s="412"/>
      <c r="P135" s="412"/>
      <c r="Q135" s="412"/>
      <c r="R135" s="412"/>
      <c r="S135" s="412"/>
      <c r="T135" s="412"/>
      <c r="U135" s="412"/>
      <c r="V135" s="412"/>
      <c r="W135" s="412"/>
      <c r="X135" s="412"/>
      <c r="Y135" s="57"/>
      <c r="Z135" s="57"/>
      <c r="AA135" s="57"/>
      <c r="AB135" s="57"/>
      <c r="AC135" s="57"/>
      <c r="AD135" s="57"/>
      <c r="AE135" s="57"/>
      <c r="AF135" s="57"/>
    </row>
    <row r="136" spans="1:32" ht="15" customHeight="1" x14ac:dyDescent="0.2">
      <c r="A136" s="619"/>
      <c r="B136" s="749" t="str">
        <f>Expenditure!A589</f>
        <v>Other (please enter description)</v>
      </c>
      <c r="C136" s="750"/>
      <c r="D136" s="729"/>
      <c r="E136" s="730">
        <f>Expenditure!F589</f>
        <v>0</v>
      </c>
      <c r="F136" s="972" t="str">
        <f t="shared" si="12"/>
        <v/>
      </c>
      <c r="G136" s="44"/>
      <c r="H136" s="44"/>
      <c r="I136" s="987">
        <f t="shared" si="11"/>
        <v>0</v>
      </c>
      <c r="J136" s="44"/>
      <c r="K136" s="412"/>
      <c r="L136" s="412"/>
      <c r="M136" s="412"/>
      <c r="N136" s="412"/>
      <c r="O136" s="412"/>
      <c r="P136" s="412"/>
      <c r="Q136" s="412"/>
      <c r="R136" s="412"/>
      <c r="S136" s="412"/>
      <c r="T136" s="412"/>
      <c r="U136" s="412"/>
      <c r="V136" s="412"/>
      <c r="W136" s="412"/>
      <c r="X136" s="412"/>
      <c r="Y136" s="57"/>
      <c r="Z136" s="57"/>
      <c r="AA136" s="57"/>
      <c r="AB136" s="57"/>
      <c r="AC136" s="57"/>
      <c r="AD136" s="57"/>
      <c r="AE136" s="57"/>
      <c r="AF136" s="57"/>
    </row>
    <row r="137" spans="1:32" ht="15" customHeight="1" x14ac:dyDescent="0.2">
      <c r="A137" s="619"/>
      <c r="B137" s="749" t="str">
        <f>Expenditure!A590</f>
        <v>Other (please enter description)</v>
      </c>
      <c r="C137" s="750"/>
      <c r="D137" s="729"/>
      <c r="E137" s="730">
        <f>Expenditure!F590</f>
        <v>0</v>
      </c>
      <c r="F137" s="972" t="str">
        <f t="shared" si="12"/>
        <v/>
      </c>
      <c r="G137" s="44"/>
      <c r="H137" s="44"/>
      <c r="I137" s="987">
        <f t="shared" si="11"/>
        <v>0</v>
      </c>
      <c r="J137" s="44"/>
      <c r="K137" s="412"/>
      <c r="L137" s="412"/>
      <c r="M137" s="412"/>
      <c r="N137" s="412"/>
      <c r="O137" s="412"/>
      <c r="P137" s="412"/>
      <c r="Q137" s="412"/>
      <c r="R137" s="412"/>
      <c r="S137" s="412"/>
      <c r="T137" s="412"/>
      <c r="U137" s="412"/>
      <c r="V137" s="412"/>
      <c r="W137" s="412"/>
      <c r="X137" s="412"/>
      <c r="Y137" s="57"/>
      <c r="Z137" s="57"/>
      <c r="AA137" s="57"/>
      <c r="AB137" s="57"/>
      <c r="AC137" s="57"/>
      <c r="AD137" s="57"/>
      <c r="AE137" s="57"/>
      <c r="AF137" s="57"/>
    </row>
    <row r="138" spans="1:32" ht="15" customHeight="1" x14ac:dyDescent="0.2">
      <c r="A138" s="619"/>
      <c r="B138" s="749" t="str">
        <f>Expenditure!A591</f>
        <v>Other (please enter description)</v>
      </c>
      <c r="C138" s="750"/>
      <c r="D138" s="729"/>
      <c r="E138" s="730">
        <f>Expenditure!F591</f>
        <v>0</v>
      </c>
      <c r="F138" s="972" t="str">
        <f t="shared" si="12"/>
        <v/>
      </c>
      <c r="G138" s="44"/>
      <c r="H138" s="44"/>
      <c r="I138" s="987">
        <f t="shared" si="11"/>
        <v>0</v>
      </c>
      <c r="J138" s="44"/>
      <c r="K138" s="412"/>
      <c r="L138" s="412"/>
      <c r="M138" s="412"/>
      <c r="N138" s="412"/>
      <c r="O138" s="412"/>
      <c r="P138" s="412"/>
      <c r="Q138" s="412"/>
      <c r="R138" s="412"/>
      <c r="S138" s="412"/>
      <c r="T138" s="412"/>
      <c r="U138" s="412"/>
      <c r="V138" s="412"/>
      <c r="W138" s="412"/>
      <c r="X138" s="412"/>
      <c r="Y138" s="57"/>
      <c r="Z138" s="57"/>
      <c r="AA138" s="57"/>
      <c r="AB138" s="57"/>
      <c r="AC138" s="57"/>
      <c r="AD138" s="57"/>
      <c r="AE138" s="57"/>
      <c r="AF138" s="57"/>
    </row>
    <row r="139" spans="1:32" ht="15" customHeight="1" x14ac:dyDescent="0.2">
      <c r="A139" s="619"/>
      <c r="B139" s="749" t="str">
        <f>Expenditure!A592</f>
        <v>Other (please enter description)</v>
      </c>
      <c r="C139" s="750"/>
      <c r="D139" s="729"/>
      <c r="E139" s="730">
        <f>Expenditure!F592</f>
        <v>0</v>
      </c>
      <c r="F139" s="972" t="str">
        <f t="shared" si="12"/>
        <v/>
      </c>
      <c r="G139" s="44"/>
      <c r="H139" s="44"/>
      <c r="I139" s="987">
        <f t="shared" si="11"/>
        <v>0</v>
      </c>
      <c r="J139" s="44"/>
      <c r="K139" s="412"/>
      <c r="L139" s="412"/>
      <c r="M139" s="412"/>
      <c r="N139" s="412"/>
      <c r="O139" s="412"/>
      <c r="P139" s="412"/>
      <c r="Q139" s="412"/>
      <c r="R139" s="412"/>
      <c r="S139" s="412"/>
      <c r="T139" s="412"/>
      <c r="U139" s="412"/>
      <c r="V139" s="412"/>
      <c r="W139" s="412"/>
      <c r="X139" s="412"/>
      <c r="Y139" s="57"/>
      <c r="Z139" s="57"/>
      <c r="AA139" s="57"/>
      <c r="AB139" s="57"/>
      <c r="AC139" s="57"/>
      <c r="AD139" s="57"/>
      <c r="AE139" s="57"/>
      <c r="AF139" s="57"/>
    </row>
    <row r="140" spans="1:32" ht="15" customHeight="1" x14ac:dyDescent="0.2">
      <c r="A140" s="619"/>
      <c r="B140" s="749" t="str">
        <f>Expenditure!A593</f>
        <v>Other (please enter description)</v>
      </c>
      <c r="C140" s="750"/>
      <c r="D140" s="729"/>
      <c r="E140" s="730">
        <f>Expenditure!F593</f>
        <v>0</v>
      </c>
      <c r="F140" s="972" t="str">
        <f t="shared" si="12"/>
        <v/>
      </c>
      <c r="G140" s="44"/>
      <c r="H140" s="44"/>
      <c r="I140" s="987">
        <f t="shared" si="11"/>
        <v>0</v>
      </c>
      <c r="J140" s="44"/>
      <c r="K140" s="412"/>
      <c r="L140" s="412"/>
      <c r="M140" s="412"/>
      <c r="N140" s="412"/>
      <c r="O140" s="412"/>
      <c r="P140" s="412"/>
      <c r="Q140" s="412"/>
      <c r="R140" s="412"/>
      <c r="S140" s="412"/>
      <c r="T140" s="412"/>
      <c r="U140" s="412"/>
      <c r="V140" s="412"/>
      <c r="W140" s="412"/>
      <c r="X140" s="412"/>
      <c r="Y140" s="57"/>
      <c r="Z140" s="57"/>
      <c r="AA140" s="57"/>
      <c r="AB140" s="57"/>
      <c r="AC140" s="57"/>
      <c r="AD140" s="57"/>
      <c r="AE140" s="57"/>
      <c r="AF140" s="57"/>
    </row>
    <row r="141" spans="1:32" ht="18" customHeight="1" thickBot="1" x14ac:dyDescent="0.25">
      <c r="A141" s="755"/>
      <c r="B141" s="756"/>
      <c r="C141" s="756"/>
      <c r="D141" s="756"/>
      <c r="E141" s="757">
        <f>Expenditure!F594</f>
        <v>0</v>
      </c>
      <c r="F141" s="979"/>
      <c r="G141" s="44"/>
      <c r="H141" s="44"/>
      <c r="I141" s="987"/>
      <c r="J141" s="44"/>
      <c r="K141" s="412"/>
      <c r="L141" s="412"/>
      <c r="M141" s="412"/>
      <c r="N141" s="412"/>
      <c r="O141" s="412"/>
      <c r="P141" s="412"/>
      <c r="Q141" s="412"/>
      <c r="R141" s="412"/>
      <c r="S141" s="412"/>
      <c r="T141" s="412"/>
      <c r="U141" s="412"/>
      <c r="V141" s="412"/>
      <c r="W141" s="412"/>
      <c r="X141" s="412"/>
      <c r="Y141" s="57"/>
      <c r="Z141" s="57"/>
      <c r="AA141" s="57"/>
      <c r="AB141" s="57"/>
      <c r="AC141" s="57"/>
      <c r="AD141" s="57"/>
      <c r="AE141" s="57"/>
      <c r="AF141" s="57"/>
    </row>
    <row r="142" spans="1:32" ht="3" customHeight="1" thickBot="1" x14ac:dyDescent="0.25">
      <c r="A142" s="51"/>
      <c r="B142" s="42"/>
      <c r="C142" s="42"/>
      <c r="D142" s="42"/>
      <c r="E142" s="52"/>
      <c r="F142" s="979"/>
      <c r="G142" s="44"/>
      <c r="H142" s="44"/>
      <c r="I142" s="987"/>
      <c r="J142" s="44"/>
      <c r="K142" s="412"/>
      <c r="L142" s="412"/>
      <c r="M142" s="412"/>
      <c r="N142" s="412"/>
      <c r="O142" s="412"/>
      <c r="P142" s="412"/>
      <c r="Q142" s="412"/>
      <c r="R142" s="412"/>
      <c r="S142" s="412"/>
      <c r="T142" s="412"/>
      <c r="U142" s="412"/>
      <c r="V142" s="412"/>
      <c r="W142" s="412"/>
      <c r="X142" s="412"/>
      <c r="Y142" s="57"/>
      <c r="Z142" s="57"/>
      <c r="AA142" s="57"/>
      <c r="AB142" s="57"/>
      <c r="AC142" s="57"/>
      <c r="AD142" s="57"/>
      <c r="AE142" s="57"/>
      <c r="AF142" s="57"/>
    </row>
    <row r="143" spans="1:32" ht="15" customHeight="1" x14ac:dyDescent="0.2">
      <c r="A143" s="592" t="str">
        <f>"Projected "&amp;'Fin.Yr Lookups'!A5&amp;" Planned Year-end Balance"</f>
        <v>Projected 2020-21 Planned Year-end Balance</v>
      </c>
      <c r="B143" s="181"/>
      <c r="C143" s="181"/>
      <c r="D143" s="49"/>
      <c r="E143" s="50"/>
      <c r="F143" s="980"/>
      <c r="K143" s="412"/>
      <c r="L143" s="412"/>
      <c r="M143" s="412"/>
      <c r="N143" s="412"/>
      <c r="O143" s="412"/>
      <c r="P143" s="412"/>
      <c r="Q143" s="412"/>
      <c r="R143" s="412"/>
      <c r="S143" s="412"/>
      <c r="T143" s="412"/>
      <c r="U143" s="412"/>
      <c r="V143" s="412"/>
      <c r="W143" s="412"/>
      <c r="X143" s="412"/>
      <c r="Y143" s="57"/>
      <c r="Z143" s="57"/>
      <c r="AA143" s="57"/>
      <c r="AB143" s="57"/>
      <c r="AC143" s="57"/>
      <c r="AD143" s="57"/>
      <c r="AE143" s="57"/>
      <c r="AF143" s="57"/>
    </row>
    <row r="144" spans="1:32" ht="3" customHeight="1" x14ac:dyDescent="0.2">
      <c r="A144" s="51"/>
      <c r="B144" s="42"/>
      <c r="C144" s="42"/>
      <c r="D144" s="42"/>
      <c r="E144" s="52"/>
      <c r="F144" s="980"/>
      <c r="K144" s="412"/>
      <c r="L144" s="412"/>
      <c r="M144" s="412"/>
      <c r="N144" s="412"/>
      <c r="O144" s="412"/>
      <c r="P144" s="412"/>
      <c r="Q144" s="412"/>
      <c r="R144" s="412"/>
      <c r="S144" s="412"/>
      <c r="T144" s="412"/>
      <c r="U144" s="412"/>
      <c r="V144" s="412"/>
      <c r="W144" s="412"/>
      <c r="X144" s="412"/>
      <c r="Y144" s="57"/>
      <c r="Z144" s="57"/>
      <c r="AA144" s="57"/>
      <c r="AB144" s="57"/>
      <c r="AC144" s="57"/>
      <c r="AD144" s="57"/>
      <c r="AE144" s="57"/>
      <c r="AF144" s="57"/>
    </row>
    <row r="145" spans="1:32" ht="15" customHeight="1" x14ac:dyDescent="0.2">
      <c r="A145" s="1038" t="s">
        <v>541</v>
      </c>
      <c r="B145" s="1039"/>
      <c r="C145" s="1039"/>
      <c r="D145" s="1040"/>
      <c r="E145" s="758">
        <f>E56-E104</f>
        <v>11155.800000000047</v>
      </c>
      <c r="F145" s="980"/>
      <c r="K145" s="412"/>
      <c r="L145" s="412"/>
      <c r="M145" s="412"/>
      <c r="N145" s="412"/>
      <c r="O145" s="412"/>
      <c r="P145" s="412"/>
      <c r="Q145" s="412"/>
      <c r="R145" s="412"/>
      <c r="S145" s="412"/>
      <c r="T145" s="412"/>
      <c r="U145" s="412"/>
      <c r="V145" s="412"/>
      <c r="W145" s="412"/>
      <c r="X145" s="412"/>
      <c r="Y145" s="57"/>
      <c r="Z145" s="57"/>
      <c r="AA145" s="57"/>
      <c r="AB145" s="57"/>
      <c r="AC145" s="57"/>
      <c r="AD145" s="57"/>
      <c r="AE145" s="57"/>
      <c r="AF145" s="57"/>
    </row>
    <row r="146" spans="1:32" ht="15" customHeight="1" x14ac:dyDescent="0.2">
      <c r="A146" s="1041" t="str">
        <f>"Available Funds less Planned Expenditure &amp; "&amp;'Fin.Yr Lookups'!A5&amp;" Contingencies ="</f>
        <v>Available Funds less Planned Expenditure &amp; 2020-21 Contingencies =</v>
      </c>
      <c r="B146" s="1042"/>
      <c r="C146" s="1042"/>
      <c r="D146" s="1043"/>
      <c r="E146" s="739">
        <f>E145-E131</f>
        <v>-0.19999999995343387</v>
      </c>
      <c r="F146" s="980"/>
      <c r="K146" s="412"/>
      <c r="L146" s="412"/>
      <c r="M146" s="412"/>
      <c r="N146" s="412"/>
      <c r="O146" s="412"/>
      <c r="P146" s="412"/>
      <c r="Q146" s="412"/>
      <c r="R146" s="412"/>
      <c r="S146" s="412"/>
      <c r="T146" s="412"/>
      <c r="U146" s="412"/>
      <c r="V146" s="412"/>
      <c r="W146" s="412"/>
      <c r="X146" s="412"/>
      <c r="Y146" s="57"/>
      <c r="Z146" s="57"/>
      <c r="AA146" s="57"/>
      <c r="AB146" s="57"/>
      <c r="AC146" s="57"/>
      <c r="AD146" s="57"/>
      <c r="AE146" s="57"/>
      <c r="AF146" s="57"/>
    </row>
    <row r="147" spans="1:32" ht="3" customHeight="1" thickBot="1" x14ac:dyDescent="0.25">
      <c r="A147" s="51"/>
      <c r="B147" s="42"/>
      <c r="C147" s="42"/>
      <c r="D147" s="42"/>
      <c r="E147" s="52"/>
      <c r="F147" s="980"/>
      <c r="K147" s="412"/>
      <c r="L147" s="412"/>
      <c r="M147" s="412"/>
      <c r="N147" s="412"/>
      <c r="O147" s="412"/>
      <c r="P147" s="412"/>
      <c r="Q147" s="412"/>
      <c r="R147" s="412"/>
      <c r="S147" s="412"/>
      <c r="T147" s="412"/>
      <c r="U147" s="412"/>
      <c r="V147" s="412"/>
      <c r="W147" s="412"/>
      <c r="X147" s="412"/>
      <c r="Y147" s="57"/>
      <c r="Z147" s="57"/>
      <c r="AA147" s="57"/>
      <c r="AB147" s="57"/>
      <c r="AC147" s="57"/>
      <c r="AD147" s="57"/>
      <c r="AE147" s="57"/>
      <c r="AF147" s="57"/>
    </row>
    <row r="148" spans="1:32" ht="18" customHeight="1" x14ac:dyDescent="0.25">
      <c r="A148" s="584" t="s">
        <v>816</v>
      </c>
      <c r="B148" s="49"/>
      <c r="C148" s="49"/>
      <c r="D148" s="49"/>
      <c r="E148" s="50"/>
      <c r="F148" s="980"/>
      <c r="K148" s="412"/>
      <c r="L148" s="412"/>
      <c r="M148" s="412"/>
      <c r="N148" s="412"/>
      <c r="O148" s="412"/>
      <c r="P148" s="412"/>
      <c r="Q148" s="412"/>
      <c r="R148" s="412"/>
      <c r="S148" s="412"/>
      <c r="T148" s="412"/>
      <c r="U148" s="412"/>
      <c r="V148" s="412"/>
      <c r="W148" s="412"/>
      <c r="X148" s="412"/>
      <c r="Y148" s="57"/>
      <c r="Z148" s="57"/>
      <c r="AA148" s="57"/>
      <c r="AB148" s="57"/>
      <c r="AC148" s="57"/>
      <c r="AD148" s="57"/>
      <c r="AE148" s="57"/>
      <c r="AF148" s="57"/>
    </row>
    <row r="149" spans="1:32" ht="15" customHeight="1" x14ac:dyDescent="0.2">
      <c r="A149" s="580" t="str">
        <f t="shared" ref="A149:B156" si="13">A60</f>
        <v>Teachers</v>
      </c>
      <c r="B149" s="581">
        <f t="shared" si="13"/>
        <v>266467</v>
      </c>
      <c r="C149" s="581"/>
      <c r="D149" s="581" t="str">
        <f t="shared" ref="D149:E152" si="14">A76</f>
        <v>Staffing: not in use</v>
      </c>
      <c r="E149" s="759">
        <f t="shared" si="14"/>
        <v>0</v>
      </c>
      <c r="F149" s="980"/>
      <c r="K149" s="412"/>
      <c r="L149" s="412"/>
      <c r="M149" s="412"/>
      <c r="N149" s="412"/>
      <c r="O149" s="412"/>
      <c r="P149" s="412"/>
      <c r="Q149" s="412"/>
      <c r="R149" s="412"/>
      <c r="S149" s="412"/>
      <c r="T149" s="412"/>
      <c r="U149" s="412"/>
      <c r="V149" s="412"/>
      <c r="W149" s="412"/>
      <c r="X149" s="412"/>
      <c r="Y149" s="57"/>
      <c r="Z149" s="57"/>
      <c r="AA149" s="57"/>
      <c r="AB149" s="57"/>
      <c r="AC149" s="57"/>
      <c r="AD149" s="57"/>
      <c r="AE149" s="57"/>
      <c r="AF149" s="57"/>
    </row>
    <row r="150" spans="1:32" ht="15" customHeight="1" x14ac:dyDescent="0.2">
      <c r="A150" s="580" t="str">
        <f t="shared" si="13"/>
        <v>Supply Staff</v>
      </c>
      <c r="B150" s="581">
        <f t="shared" si="13"/>
        <v>3808</v>
      </c>
      <c r="C150" s="581"/>
      <c r="D150" s="581" t="str">
        <f t="shared" si="14"/>
        <v>Staffing: not in use</v>
      </c>
      <c r="E150" s="759">
        <f t="shared" si="14"/>
        <v>0</v>
      </c>
      <c r="F150" s="980"/>
      <c r="K150" s="412"/>
      <c r="L150" s="412"/>
      <c r="M150" s="412"/>
      <c r="N150" s="412"/>
      <c r="O150" s="412"/>
      <c r="P150" s="412"/>
      <c r="Q150" s="412"/>
      <c r="R150" s="412"/>
      <c r="S150" s="412"/>
      <c r="T150" s="412"/>
      <c r="U150" s="412"/>
      <c r="V150" s="412"/>
      <c r="W150" s="412"/>
      <c r="X150" s="412"/>
      <c r="Y150" s="57"/>
      <c r="Z150" s="57"/>
      <c r="AA150" s="57"/>
      <c r="AB150" s="57"/>
      <c r="AC150" s="57"/>
      <c r="AD150" s="57"/>
      <c r="AE150" s="57"/>
      <c r="AF150" s="57"/>
    </row>
    <row r="151" spans="1:32" ht="15" customHeight="1" x14ac:dyDescent="0.2">
      <c r="A151" s="580" t="str">
        <f t="shared" si="13"/>
        <v>Administrative Staff</v>
      </c>
      <c r="B151" s="581">
        <f t="shared" si="13"/>
        <v>32930</v>
      </c>
      <c r="C151" s="581"/>
      <c r="D151" s="581" t="str">
        <f t="shared" si="14"/>
        <v>Staffing: not in use</v>
      </c>
      <c r="E151" s="759">
        <f t="shared" si="14"/>
        <v>0</v>
      </c>
      <c r="F151" s="980"/>
      <c r="K151" s="412"/>
      <c r="L151" s="412"/>
      <c r="M151" s="412"/>
      <c r="N151" s="412"/>
      <c r="O151" s="412"/>
      <c r="P151" s="412"/>
      <c r="Q151" s="412"/>
      <c r="R151" s="412"/>
      <c r="S151" s="412"/>
      <c r="T151" s="412"/>
      <c r="U151" s="412"/>
      <c r="V151" s="412"/>
      <c r="W151" s="412"/>
      <c r="X151" s="412"/>
      <c r="Y151" s="57"/>
      <c r="Z151" s="57"/>
      <c r="AA151" s="57"/>
      <c r="AB151" s="57"/>
      <c r="AC151" s="57"/>
      <c r="AD151" s="57"/>
      <c r="AE151" s="57"/>
      <c r="AF151" s="57"/>
    </row>
    <row r="152" spans="1:32" ht="15" customHeight="1" x14ac:dyDescent="0.2">
      <c r="A152" s="580" t="str">
        <f t="shared" si="13"/>
        <v>Nursery Nurses</v>
      </c>
      <c r="B152" s="581">
        <f t="shared" si="13"/>
        <v>0</v>
      </c>
      <c r="C152" s="581"/>
      <c r="D152" s="581" t="str">
        <f t="shared" si="14"/>
        <v>Staffing: not in use</v>
      </c>
      <c r="E152" s="759">
        <f t="shared" si="14"/>
        <v>0</v>
      </c>
      <c r="F152" s="980"/>
      <c r="K152" s="412"/>
      <c r="L152" s="412"/>
      <c r="M152" s="412"/>
      <c r="N152" s="412"/>
      <c r="O152" s="412"/>
      <c r="P152" s="412"/>
      <c r="Q152" s="412"/>
      <c r="R152" s="412"/>
      <c r="S152" s="412"/>
      <c r="T152" s="412"/>
      <c r="U152" s="412"/>
      <c r="V152" s="412"/>
      <c r="W152" s="412"/>
      <c r="X152" s="412"/>
      <c r="Y152" s="57"/>
      <c r="Z152" s="57"/>
      <c r="AA152" s="57"/>
      <c r="AB152" s="57"/>
      <c r="AC152" s="57"/>
      <c r="AD152" s="57"/>
      <c r="AE152" s="57"/>
      <c r="AF152" s="57"/>
    </row>
    <row r="153" spans="1:32" ht="18.95" customHeight="1" x14ac:dyDescent="0.2">
      <c r="A153" s="580" t="str">
        <f t="shared" si="13"/>
        <v>Classroom Support</v>
      </c>
      <c r="B153" s="581">
        <f t="shared" si="13"/>
        <v>53286</v>
      </c>
      <c r="C153" s="581"/>
      <c r="D153" s="1061" t="s">
        <v>937</v>
      </c>
      <c r="E153" s="1030">
        <v>5000</v>
      </c>
      <c r="F153" s="1025" t="str">
        <f>IF(OR(ISBLANK(E153),ISBLANK(E155),ISBLANK(E157)),"Please state the amount of Pupil Premium, PE Grant or any other funds to be spent on staffing, entering zeros where applicable","")</f>
        <v/>
      </c>
      <c r="G153" s="1026"/>
      <c r="I153" s="989">
        <f>IF(E153="",1,0)</f>
        <v>0</v>
      </c>
      <c r="L153" s="412"/>
      <c r="M153" s="412"/>
      <c r="N153" s="412"/>
      <c r="O153" s="412"/>
      <c r="P153" s="412"/>
      <c r="Q153" s="412"/>
      <c r="R153" s="412"/>
      <c r="S153" s="412"/>
      <c r="T153" s="412"/>
      <c r="U153" s="412"/>
      <c r="V153" s="412"/>
      <c r="W153" s="412"/>
      <c r="X153" s="412"/>
      <c r="Y153" s="57"/>
      <c r="Z153" s="57"/>
      <c r="AA153" s="57"/>
      <c r="AB153" s="57"/>
      <c r="AC153" s="57"/>
      <c r="AD153" s="57"/>
      <c r="AE153" s="57"/>
      <c r="AF153" s="57"/>
    </row>
    <row r="154" spans="1:32" ht="18.95" customHeight="1" x14ac:dyDescent="0.2">
      <c r="A154" s="580" t="str">
        <f t="shared" si="13"/>
        <v>SEN Welfare</v>
      </c>
      <c r="B154" s="581">
        <f t="shared" si="13"/>
        <v>0</v>
      </c>
      <c r="C154" s="581"/>
      <c r="D154" s="1062"/>
      <c r="E154" s="1030"/>
      <c r="F154" s="1025"/>
      <c r="G154" s="1026"/>
      <c r="I154" s="989"/>
      <c r="L154" s="412"/>
      <c r="M154" s="412"/>
      <c r="N154" s="412"/>
      <c r="O154" s="412"/>
      <c r="P154" s="412"/>
      <c r="Q154" s="412"/>
      <c r="R154" s="412"/>
      <c r="S154" s="412"/>
      <c r="T154" s="412"/>
      <c r="U154" s="412"/>
      <c r="V154" s="412"/>
      <c r="W154" s="412"/>
      <c r="X154" s="412"/>
      <c r="Y154" s="57"/>
      <c r="Z154" s="57"/>
      <c r="AA154" s="57"/>
      <c r="AB154" s="57"/>
      <c r="AC154" s="57"/>
      <c r="AD154" s="57"/>
      <c r="AE154" s="57"/>
      <c r="AF154" s="57"/>
    </row>
    <row r="155" spans="1:32" ht="18.95" customHeight="1" x14ac:dyDescent="0.2">
      <c r="A155" s="580" t="str">
        <f t="shared" si="13"/>
        <v>Premises Staff</v>
      </c>
      <c r="B155" s="581">
        <f t="shared" si="13"/>
        <v>14535</v>
      </c>
      <c r="C155" s="581"/>
      <c r="D155" s="1062" t="s">
        <v>938</v>
      </c>
      <c r="E155" s="1030">
        <v>2500</v>
      </c>
      <c r="F155" s="1025"/>
      <c r="G155" s="1026"/>
      <c r="I155" s="989">
        <f>IF(E155="",1,0)</f>
        <v>0</v>
      </c>
      <c r="L155" s="412"/>
      <c r="M155" s="412"/>
      <c r="N155" s="412"/>
      <c r="O155" s="412"/>
      <c r="P155" s="412"/>
      <c r="Q155" s="412"/>
      <c r="R155" s="412"/>
      <c r="S155" s="412"/>
      <c r="T155" s="412"/>
      <c r="U155" s="412"/>
      <c r="V155" s="412"/>
      <c r="W155" s="412"/>
      <c r="X155" s="412"/>
      <c r="Y155" s="57"/>
      <c r="Z155" s="57"/>
      <c r="AA155" s="57"/>
      <c r="AB155" s="57"/>
      <c r="AC155" s="57"/>
      <c r="AD155" s="57"/>
      <c r="AE155" s="57"/>
      <c r="AF155" s="57"/>
    </row>
    <row r="156" spans="1:32" ht="18.95" customHeight="1" x14ac:dyDescent="0.2">
      <c r="A156" s="580" t="str">
        <f t="shared" si="13"/>
        <v>Midday Supervision</v>
      </c>
      <c r="B156" s="581">
        <f t="shared" si="13"/>
        <v>7538</v>
      </c>
      <c r="C156" s="581"/>
      <c r="D156" s="1062"/>
      <c r="E156" s="1030"/>
      <c r="F156" s="1025"/>
      <c r="G156" s="1026"/>
      <c r="I156" s="989"/>
      <c r="L156" s="412"/>
      <c r="M156" s="412"/>
      <c r="N156" s="412"/>
      <c r="O156" s="412"/>
      <c r="P156" s="412"/>
      <c r="Q156" s="412"/>
      <c r="R156" s="412"/>
      <c r="S156" s="412"/>
      <c r="T156" s="412"/>
      <c r="U156" s="412"/>
      <c r="V156" s="412"/>
      <c r="W156" s="412"/>
      <c r="X156" s="412"/>
      <c r="Y156" s="57"/>
      <c r="Z156" s="57"/>
      <c r="AA156" s="57"/>
      <c r="AB156" s="57"/>
      <c r="AC156" s="57"/>
      <c r="AD156" s="57"/>
      <c r="AE156" s="57"/>
      <c r="AF156" s="57"/>
    </row>
    <row r="157" spans="1:32" ht="18.95" customHeight="1" x14ac:dyDescent="0.2">
      <c r="A157" s="580" t="str">
        <f t="shared" ref="A157:B162" si="15">A70</f>
        <v>Staff Insurance Premiums</v>
      </c>
      <c r="B157" s="582">
        <f t="shared" si="15"/>
        <v>8935</v>
      </c>
      <c r="C157" s="581"/>
      <c r="D157" s="1060" t="s">
        <v>939</v>
      </c>
      <c r="E157" s="1030">
        <v>-3048</v>
      </c>
      <c r="F157" s="1025"/>
      <c r="G157" s="1026"/>
      <c r="I157" s="989">
        <f>IF(E157="",1,0)</f>
        <v>0</v>
      </c>
      <c r="L157" s="412"/>
      <c r="M157" s="412"/>
      <c r="N157" s="412"/>
      <c r="O157" s="412"/>
      <c r="P157" s="412"/>
      <c r="Q157" s="412"/>
      <c r="R157" s="412"/>
      <c r="S157" s="412"/>
      <c r="T157" s="412"/>
      <c r="U157" s="412"/>
      <c r="V157" s="412"/>
      <c r="W157" s="412"/>
      <c r="X157" s="412"/>
      <c r="Y157" s="57"/>
      <c r="Z157" s="57"/>
      <c r="AA157" s="57"/>
      <c r="AB157" s="57"/>
      <c r="AC157" s="57"/>
      <c r="AD157" s="57"/>
      <c r="AE157" s="57"/>
      <c r="AF157" s="57"/>
    </row>
    <row r="158" spans="1:32" ht="18.95" customHeight="1" x14ac:dyDescent="0.2">
      <c r="A158" s="580" t="str">
        <f t="shared" si="15"/>
        <v>Other Employees Expenses</v>
      </c>
      <c r="B158" s="582">
        <f t="shared" si="15"/>
        <v>3749</v>
      </c>
      <c r="C158" s="581"/>
      <c r="D158" s="1060"/>
      <c r="E158" s="1031"/>
      <c r="F158" s="1025"/>
      <c r="G158" s="1026"/>
      <c r="I158" s="989"/>
      <c r="L158" s="412"/>
      <c r="M158" s="412"/>
      <c r="N158" s="412"/>
      <c r="O158" s="412"/>
      <c r="P158" s="412"/>
      <c r="Q158" s="412"/>
      <c r="R158" s="412"/>
      <c r="S158" s="412"/>
      <c r="T158" s="412"/>
      <c r="U158" s="412"/>
      <c r="V158" s="412"/>
      <c r="W158" s="412"/>
      <c r="X158" s="412"/>
      <c r="Y158" s="57"/>
      <c r="Z158" s="57"/>
      <c r="AA158" s="57"/>
      <c r="AB158" s="57"/>
      <c r="AC158" s="57"/>
      <c r="AD158" s="57"/>
      <c r="AE158" s="57"/>
      <c r="AF158" s="57"/>
    </row>
    <row r="159" spans="1:32" ht="15" customHeight="1" x14ac:dyDescent="0.2">
      <c r="A159" s="580" t="str">
        <f t="shared" si="15"/>
        <v>PE Instructor</v>
      </c>
      <c r="B159" s="582">
        <f t="shared" si="15"/>
        <v>9008</v>
      </c>
      <c r="C159" s="581"/>
      <c r="D159" s="581"/>
      <c r="E159" s="760"/>
      <c r="F159" s="980"/>
      <c r="L159" s="412"/>
      <c r="M159" s="412"/>
      <c r="N159" s="412"/>
      <c r="O159" s="412"/>
      <c r="P159" s="412"/>
      <c r="Q159" s="412"/>
      <c r="R159" s="412"/>
      <c r="S159" s="412"/>
      <c r="T159" s="412"/>
      <c r="U159" s="412"/>
      <c r="V159" s="412"/>
      <c r="W159" s="412"/>
      <c r="X159" s="412"/>
      <c r="Y159" s="57"/>
      <c r="Z159" s="57"/>
      <c r="AA159" s="57"/>
      <c r="AB159" s="57"/>
      <c r="AC159" s="57"/>
      <c r="AD159" s="57"/>
      <c r="AE159" s="57"/>
      <c r="AF159" s="57"/>
    </row>
    <row r="160" spans="1:32" ht="15" customHeight="1" x14ac:dyDescent="0.2">
      <c r="A160" s="580" t="str">
        <f t="shared" si="15"/>
        <v>Breakfast Club Instructor</v>
      </c>
      <c r="B160" s="582">
        <f t="shared" si="15"/>
        <v>4026</v>
      </c>
      <c r="C160" s="581"/>
      <c r="D160" s="583" t="s">
        <v>815</v>
      </c>
      <c r="E160" s="590">
        <f>SUM(B149:B162)+SUM(E149:E152)+E153+E155+E157</f>
        <v>408734</v>
      </c>
      <c r="F160" s="980"/>
      <c r="K160" s="412"/>
      <c r="L160" s="412"/>
      <c r="M160" s="412"/>
      <c r="N160" s="412"/>
      <c r="O160" s="412"/>
      <c r="P160" s="412"/>
      <c r="Q160" s="412"/>
      <c r="R160" s="412"/>
      <c r="S160" s="412"/>
      <c r="T160" s="412"/>
      <c r="U160" s="412"/>
      <c r="V160" s="412"/>
      <c r="W160" s="412"/>
      <c r="X160" s="412"/>
      <c r="Y160" s="57"/>
      <c r="Z160" s="57"/>
      <c r="AA160" s="57"/>
      <c r="AB160" s="57"/>
      <c r="AC160" s="57"/>
      <c r="AD160" s="57"/>
      <c r="AE160" s="57"/>
      <c r="AF160" s="57"/>
    </row>
    <row r="161" spans="1:32" ht="15" customHeight="1" x14ac:dyDescent="0.2">
      <c r="A161" s="580" t="str">
        <f t="shared" si="15"/>
        <v>Staffing: not in use</v>
      </c>
      <c r="B161" s="582">
        <f t="shared" si="15"/>
        <v>0</v>
      </c>
      <c r="C161" s="581"/>
      <c r="D161" s="581"/>
      <c r="E161" s="760"/>
      <c r="F161" s="980"/>
      <c r="K161" s="412"/>
      <c r="L161" s="412"/>
      <c r="M161" s="412"/>
      <c r="N161" s="412"/>
      <c r="O161" s="412"/>
      <c r="P161" s="412"/>
      <c r="Q161" s="412"/>
      <c r="R161" s="412"/>
      <c r="S161" s="412"/>
      <c r="T161" s="412"/>
      <c r="U161" s="412"/>
      <c r="V161" s="412"/>
      <c r="W161" s="412"/>
      <c r="X161" s="412"/>
      <c r="Y161" s="57"/>
      <c r="Z161" s="57"/>
      <c r="AA161" s="57"/>
      <c r="AB161" s="57"/>
      <c r="AC161" s="57"/>
      <c r="AD161" s="57"/>
      <c r="AE161" s="57"/>
      <c r="AF161" s="57"/>
    </row>
    <row r="162" spans="1:32" ht="15" customHeight="1" x14ac:dyDescent="0.2">
      <c r="A162" s="580" t="str">
        <f t="shared" si="15"/>
        <v>Staffing: not in use</v>
      </c>
      <c r="B162" s="582">
        <f t="shared" si="15"/>
        <v>0</v>
      </c>
      <c r="C162" s="581"/>
      <c r="D162" s="1058" t="s">
        <v>895</v>
      </c>
      <c r="E162" s="1059">
        <f>E29-D6-D7-D13</f>
        <v>463116</v>
      </c>
      <c r="F162" s="980"/>
      <c r="K162" s="412"/>
      <c r="L162" s="412"/>
      <c r="M162" s="412"/>
      <c r="N162" s="412"/>
      <c r="O162" s="412"/>
      <c r="P162" s="412"/>
      <c r="Q162" s="412"/>
      <c r="R162" s="412"/>
      <c r="S162" s="412"/>
      <c r="T162" s="412"/>
      <c r="U162" s="412"/>
      <c r="V162" s="412"/>
      <c r="W162" s="412"/>
      <c r="X162" s="412"/>
      <c r="Y162" s="57"/>
      <c r="Z162" s="57"/>
      <c r="AA162" s="57"/>
      <c r="AB162" s="57"/>
      <c r="AC162" s="57"/>
      <c r="AD162" s="57"/>
      <c r="AE162" s="57"/>
      <c r="AF162" s="57"/>
    </row>
    <row r="163" spans="1:32" ht="15" customHeight="1" x14ac:dyDescent="0.2">
      <c r="A163" s="587"/>
      <c r="B163" s="761"/>
      <c r="C163" s="761"/>
      <c r="D163" s="1058"/>
      <c r="E163" s="1059"/>
      <c r="F163" s="980"/>
      <c r="K163" s="412"/>
      <c r="L163" s="412"/>
      <c r="M163" s="412"/>
      <c r="N163" s="412"/>
      <c r="O163" s="412"/>
      <c r="P163" s="412"/>
      <c r="Q163" s="412"/>
      <c r="R163" s="412"/>
      <c r="S163" s="412"/>
      <c r="T163" s="412"/>
      <c r="U163" s="412"/>
      <c r="V163" s="412"/>
      <c r="W163" s="412"/>
      <c r="X163" s="412"/>
      <c r="Y163" s="57"/>
      <c r="Z163" s="57"/>
      <c r="AA163" s="57"/>
      <c r="AB163" s="57"/>
      <c r="AC163" s="57"/>
      <c r="AD163" s="57"/>
      <c r="AE163" s="57"/>
      <c r="AF163" s="57"/>
    </row>
    <row r="164" spans="1:32" ht="44.25" customHeight="1" x14ac:dyDescent="0.2">
      <c r="A164" s="1051" t="s">
        <v>896</v>
      </c>
      <c r="B164" s="1052"/>
      <c r="C164" s="1052"/>
      <c r="D164" s="1052"/>
      <c r="E164" s="589">
        <f>ROUND(E160/E162,4)</f>
        <v>0.88260000000000005</v>
      </c>
      <c r="F164" s="980"/>
      <c r="K164" s="412"/>
      <c r="L164" s="412"/>
      <c r="M164" s="412"/>
      <c r="N164" s="412"/>
      <c r="O164" s="412"/>
      <c r="P164" s="412"/>
      <c r="Q164" s="412"/>
      <c r="R164" s="412"/>
      <c r="S164" s="412"/>
      <c r="T164" s="412"/>
      <c r="U164" s="412"/>
      <c r="V164" s="412"/>
      <c r="W164" s="412"/>
      <c r="X164" s="412"/>
      <c r="Y164" s="57"/>
      <c r="Z164" s="57"/>
      <c r="AA164" s="57"/>
      <c r="AB164" s="57"/>
      <c r="AC164" s="57"/>
      <c r="AD164" s="57"/>
      <c r="AE164" s="57"/>
      <c r="AF164" s="57"/>
    </row>
    <row r="165" spans="1:32" ht="10.5" customHeight="1" thickBot="1" x14ac:dyDescent="0.25">
      <c r="A165" s="641"/>
      <c r="B165" s="642"/>
      <c r="C165" s="642"/>
      <c r="D165" s="642"/>
      <c r="E165" s="643"/>
      <c r="F165" s="980"/>
      <c r="K165" s="412"/>
      <c r="L165" s="412"/>
      <c r="M165" s="412"/>
      <c r="N165" s="412"/>
      <c r="O165" s="412"/>
      <c r="P165" s="412"/>
      <c r="Q165" s="412"/>
      <c r="R165" s="412"/>
      <c r="S165" s="412"/>
      <c r="T165" s="412"/>
      <c r="U165" s="412"/>
      <c r="V165" s="412"/>
      <c r="W165" s="412"/>
      <c r="X165" s="412"/>
      <c r="Y165" s="57"/>
      <c r="Z165" s="57"/>
      <c r="AA165" s="57"/>
      <c r="AB165" s="57"/>
      <c r="AC165" s="57"/>
      <c r="AD165" s="57"/>
      <c r="AE165" s="57"/>
      <c r="AF165" s="57"/>
    </row>
    <row r="166" spans="1:32" ht="15" customHeight="1" x14ac:dyDescent="0.2">
      <c r="A166" s="48" t="s">
        <v>425</v>
      </c>
      <c r="B166" s="179"/>
      <c r="C166" s="179"/>
      <c r="D166" s="786"/>
      <c r="E166" s="791"/>
      <c r="F166" s="980"/>
      <c r="K166" s="412"/>
      <c r="L166" s="412"/>
      <c r="M166" s="412"/>
      <c r="N166" s="412"/>
      <c r="O166" s="412"/>
      <c r="P166" s="412"/>
      <c r="Q166" s="412"/>
      <c r="R166" s="412"/>
      <c r="S166" s="412"/>
      <c r="T166" s="412"/>
      <c r="U166" s="412"/>
      <c r="V166" s="412"/>
      <c r="W166" s="412"/>
      <c r="X166" s="412"/>
      <c r="Y166" s="57"/>
      <c r="Z166" s="57"/>
      <c r="AA166" s="57"/>
      <c r="AB166" s="57"/>
      <c r="AC166" s="57"/>
      <c r="AD166" s="57"/>
      <c r="AE166" s="57"/>
      <c r="AF166" s="57"/>
    </row>
    <row r="167" spans="1:32" ht="15" customHeight="1" x14ac:dyDescent="0.2">
      <c r="A167" s="619" t="str">
        <f>"       Capital funds held by school on "&amp;'Fin.Yr Lookups'!A7</f>
        <v xml:space="preserve">       Capital funds held by school on 1/4/20</v>
      </c>
      <c r="B167" s="725"/>
      <c r="C167" s="725"/>
      <c r="D167" s="762"/>
      <c r="E167" s="763">
        <f>Capital!H13</f>
        <v>0</v>
      </c>
      <c r="F167" s="980"/>
      <c r="K167" s="412"/>
      <c r="L167" s="412"/>
      <c r="M167" s="412"/>
      <c r="N167" s="412"/>
      <c r="O167" s="412"/>
      <c r="P167" s="412"/>
      <c r="Q167" s="412"/>
      <c r="R167" s="412"/>
      <c r="S167" s="412"/>
      <c r="T167" s="412"/>
      <c r="U167" s="412"/>
      <c r="V167" s="412"/>
      <c r="W167" s="412"/>
      <c r="X167" s="412"/>
      <c r="Y167" s="57"/>
      <c r="Z167" s="57"/>
      <c r="AA167" s="57"/>
      <c r="AB167" s="57"/>
      <c r="AC167" s="57"/>
      <c r="AD167" s="57"/>
      <c r="AE167" s="57"/>
      <c r="AF167" s="57"/>
    </row>
    <row r="168" spans="1:32" ht="15" customHeight="1" x14ac:dyDescent="0.2">
      <c r="A168" s="620" t="str">
        <f>"             add "&amp;'Fin.Yr Lookups'!A5&amp;" Capital Funding/Income to be claimed from LA"</f>
        <v xml:space="preserve">             add 2020-21 Capital Funding/Income to be claimed from LA</v>
      </c>
      <c r="B168" s="764"/>
      <c r="C168" s="764"/>
      <c r="D168" s="581"/>
      <c r="E168" s="730">
        <f>Capital!H18+Capital!H19+Capital!H20+Capital!H22+Capital!H23+Capital!H24</f>
        <v>0</v>
      </c>
      <c r="F168" s="980"/>
      <c r="K168" s="412"/>
      <c r="L168" s="412"/>
      <c r="M168" s="412"/>
      <c r="N168" s="412"/>
      <c r="O168" s="412"/>
      <c r="P168" s="412"/>
      <c r="Q168" s="412"/>
      <c r="R168" s="412"/>
      <c r="S168" s="412"/>
      <c r="T168" s="412"/>
      <c r="U168" s="412"/>
      <c r="V168" s="412"/>
      <c r="W168" s="412"/>
      <c r="X168" s="412"/>
      <c r="Y168" s="57"/>
      <c r="Z168" s="57"/>
      <c r="AA168" s="57"/>
      <c r="AB168" s="57"/>
      <c r="AC168" s="57"/>
      <c r="AD168" s="57"/>
      <c r="AE168" s="57"/>
      <c r="AF168" s="57"/>
    </row>
    <row r="169" spans="1:32" ht="15" customHeight="1" x14ac:dyDescent="0.2">
      <c r="A169" s="617" t="s">
        <v>264</v>
      </c>
      <c r="B169" s="728"/>
      <c r="C169" s="728"/>
      <c r="D169" s="765"/>
      <c r="E169" s="730">
        <f>Capital!H21</f>
        <v>0</v>
      </c>
      <c r="F169" s="980"/>
      <c r="K169" s="412"/>
      <c r="L169" s="412"/>
      <c r="M169" s="412"/>
      <c r="N169" s="412"/>
      <c r="O169" s="412"/>
      <c r="P169" s="412"/>
      <c r="Q169" s="412"/>
      <c r="R169" s="412"/>
      <c r="S169" s="412"/>
      <c r="T169" s="412"/>
      <c r="U169" s="412"/>
      <c r="V169" s="412"/>
      <c r="W169" s="412"/>
      <c r="X169" s="412"/>
      <c r="Y169" s="57"/>
      <c r="Z169" s="57"/>
      <c r="AA169" s="57"/>
      <c r="AB169" s="57"/>
      <c r="AC169" s="57"/>
      <c r="AD169" s="57"/>
      <c r="AE169" s="57"/>
      <c r="AF169" s="57"/>
    </row>
    <row r="170" spans="1:32" ht="15" customHeight="1" x14ac:dyDescent="0.2">
      <c r="A170" s="621" t="str">
        <f>"             less Expenditure on "&amp;'Fin.Yr Lookups'!A5&amp;" Capital Projects"</f>
        <v xml:space="preserve">             less Expenditure on 2020-21 Capital Projects</v>
      </c>
      <c r="B170" s="736"/>
      <c r="C170" s="736"/>
      <c r="D170" s="765"/>
      <c r="E170" s="766">
        <f>Capital!H37</f>
        <v>0</v>
      </c>
      <c r="F170" s="980"/>
      <c r="K170" s="412"/>
      <c r="L170" s="412"/>
      <c r="M170" s="412"/>
      <c r="N170" s="412"/>
      <c r="O170" s="412"/>
      <c r="P170" s="412"/>
      <c r="Q170" s="412"/>
      <c r="R170" s="412"/>
      <c r="S170" s="412"/>
      <c r="T170" s="412"/>
      <c r="U170" s="412"/>
      <c r="V170" s="412"/>
      <c r="W170" s="412"/>
      <c r="X170" s="412"/>
      <c r="Y170" s="57"/>
      <c r="Z170" s="57"/>
      <c r="AA170" s="57"/>
      <c r="AB170" s="57"/>
      <c r="AC170" s="57"/>
      <c r="AD170" s="57"/>
      <c r="AE170" s="57"/>
      <c r="AF170" s="57"/>
    </row>
    <row r="171" spans="1:32" ht="15" customHeight="1" x14ac:dyDescent="0.2">
      <c r="A171" s="619" t="str">
        <f>"       = Projected Capital Balance held by school on "&amp;'Fin.Yr Lookups'!A8</f>
        <v xml:space="preserve">       = Projected Capital Balance held by school on 31/3/21</v>
      </c>
      <c r="B171" s="767"/>
      <c r="C171" s="767"/>
      <c r="D171" s="768"/>
      <c r="E171" s="739">
        <f>Capital!H39</f>
        <v>0</v>
      </c>
      <c r="F171" s="980"/>
      <c r="K171" s="412"/>
      <c r="L171" s="412"/>
      <c r="M171" s="412"/>
      <c r="N171" s="412"/>
      <c r="O171" s="412"/>
      <c r="P171" s="412"/>
      <c r="Q171" s="412"/>
      <c r="R171" s="412"/>
      <c r="S171" s="412"/>
      <c r="T171" s="412"/>
      <c r="U171" s="412"/>
      <c r="V171" s="412"/>
      <c r="W171" s="412"/>
      <c r="X171" s="412"/>
      <c r="Y171" s="57"/>
      <c r="Z171" s="57"/>
      <c r="AA171" s="57"/>
      <c r="AB171" s="57"/>
      <c r="AC171" s="57"/>
      <c r="AD171" s="57"/>
      <c r="AE171" s="57"/>
      <c r="AF171" s="57"/>
    </row>
    <row r="172" spans="1:32" ht="3" customHeight="1" x14ac:dyDescent="0.2">
      <c r="A172" s="619"/>
      <c r="B172" s="767"/>
      <c r="C172" s="767"/>
      <c r="D172" s="769"/>
      <c r="E172" s="739"/>
      <c r="F172" s="980"/>
      <c r="K172" s="412"/>
      <c r="L172" s="412"/>
      <c r="M172" s="412"/>
      <c r="N172" s="412"/>
      <c r="O172" s="412"/>
      <c r="P172" s="412"/>
      <c r="Q172" s="412"/>
      <c r="R172" s="412"/>
      <c r="S172" s="412"/>
      <c r="T172" s="412"/>
      <c r="U172" s="412"/>
      <c r="V172" s="412"/>
      <c r="W172" s="412"/>
      <c r="X172" s="412"/>
      <c r="Y172" s="57"/>
      <c r="Z172" s="57"/>
      <c r="AA172" s="57"/>
      <c r="AB172" s="57"/>
      <c r="AC172" s="57"/>
      <c r="AD172" s="57"/>
      <c r="AE172" s="57"/>
      <c r="AF172" s="57"/>
    </row>
    <row r="173" spans="1:32" ht="26.25" customHeight="1" x14ac:dyDescent="0.2">
      <c r="A173" s="1046" t="str">
        <f>"      Formula Capital Grant funding available, but which is not to be claimed from the
      Local Authority until after the "&amp;'Fin.Yr Lookups'!A5&amp;" financial year."</f>
        <v xml:space="preserve">      Formula Capital Grant funding available, but which is not to be claimed from the
      Local Authority until after the 2020-21 financial year.</v>
      </c>
      <c r="B173" s="1047"/>
      <c r="C173" s="1047"/>
      <c r="D173" s="1047"/>
      <c r="E173" s="770">
        <f>Capital!H9</f>
        <v>7851</v>
      </c>
      <c r="F173" s="980"/>
      <c r="K173" s="412"/>
      <c r="L173" s="412"/>
      <c r="M173" s="412"/>
      <c r="N173" s="412"/>
      <c r="O173" s="412"/>
      <c r="P173" s="412"/>
      <c r="Q173" s="412"/>
      <c r="R173" s="412"/>
      <c r="S173" s="412"/>
      <c r="T173" s="412"/>
      <c r="U173" s="412"/>
      <c r="V173" s="412"/>
      <c r="W173" s="412"/>
      <c r="X173" s="412"/>
      <c r="Y173" s="57"/>
      <c r="Z173" s="57"/>
      <c r="AA173" s="57"/>
      <c r="AB173" s="57"/>
      <c r="AC173" s="57"/>
      <c r="AD173" s="57"/>
      <c r="AE173" s="57"/>
      <c r="AF173" s="57"/>
    </row>
    <row r="174" spans="1:32" ht="3.75" customHeight="1" thickBot="1" x14ac:dyDescent="0.25">
      <c r="A174" s="53"/>
      <c r="B174" s="54"/>
      <c r="C174" s="54"/>
      <c r="D174" s="54"/>
      <c r="E174" s="55"/>
      <c r="F174" s="980"/>
      <c r="K174" s="412"/>
      <c r="L174" s="412"/>
      <c r="M174" s="412"/>
      <c r="N174" s="412"/>
      <c r="O174" s="412"/>
      <c r="P174" s="412"/>
      <c r="Q174" s="412"/>
      <c r="R174" s="412"/>
      <c r="S174" s="412"/>
      <c r="T174" s="412"/>
      <c r="U174" s="412"/>
      <c r="V174" s="412"/>
      <c r="W174" s="412"/>
      <c r="X174" s="412"/>
      <c r="Y174" s="57"/>
      <c r="Z174" s="57"/>
      <c r="AA174" s="57"/>
      <c r="AB174" s="57"/>
      <c r="AC174" s="57"/>
      <c r="AD174" s="57"/>
      <c r="AE174" s="57"/>
      <c r="AF174" s="57"/>
    </row>
    <row r="175" spans="1:32" ht="18" customHeight="1" x14ac:dyDescent="0.2">
      <c r="A175" s="629" t="s">
        <v>581</v>
      </c>
      <c r="B175" s="725"/>
      <c r="C175" s="725"/>
      <c r="D175" s="725"/>
      <c r="E175" s="743"/>
      <c r="F175" s="980"/>
      <c r="K175" s="412"/>
      <c r="L175" s="412"/>
      <c r="M175" s="412"/>
      <c r="N175" s="412"/>
      <c r="O175" s="412"/>
      <c r="P175" s="412"/>
      <c r="Q175" s="412"/>
      <c r="R175" s="412"/>
      <c r="S175" s="412"/>
      <c r="T175" s="412"/>
      <c r="U175" s="412"/>
      <c r="V175" s="412"/>
      <c r="W175" s="412"/>
      <c r="X175" s="412"/>
      <c r="Y175" s="57"/>
      <c r="Z175" s="57"/>
      <c r="AA175" s="57"/>
      <c r="AB175" s="57"/>
      <c r="AC175" s="57"/>
      <c r="AD175" s="57"/>
      <c r="AE175" s="57"/>
      <c r="AF175" s="57"/>
    </row>
    <row r="176" spans="1:32" ht="6" customHeight="1" x14ac:dyDescent="0.2">
      <c r="A176" s="619"/>
      <c r="B176" s="725"/>
      <c r="C176" s="725"/>
      <c r="D176" s="725"/>
      <c r="E176" s="743"/>
      <c r="F176" s="1025" t="str">
        <f>IF(D177="","Please enter the date of the meeting at which the budget was approved","")</f>
        <v>Please enter the date of the meeting at which the budget was approved</v>
      </c>
      <c r="G176" s="415"/>
      <c r="H176" s="415"/>
      <c r="I176" s="989"/>
      <c r="J176" s="415"/>
      <c r="K176" s="412"/>
      <c r="L176" s="412"/>
      <c r="M176" s="412"/>
      <c r="N176" s="412"/>
      <c r="O176" s="412"/>
      <c r="P176" s="412"/>
      <c r="Q176" s="412"/>
      <c r="R176" s="412"/>
      <c r="S176" s="412"/>
      <c r="T176" s="412"/>
      <c r="U176" s="412"/>
      <c r="V176" s="412"/>
      <c r="W176" s="412"/>
      <c r="X176" s="412"/>
      <c r="Y176" s="57"/>
      <c r="Z176" s="57"/>
      <c r="AA176" s="57"/>
      <c r="AB176" s="57"/>
      <c r="AC176" s="57"/>
      <c r="AD176" s="57"/>
      <c r="AE176" s="57"/>
      <c r="AF176" s="57"/>
    </row>
    <row r="177" spans="1:32" ht="26.25" customHeight="1" x14ac:dyDescent="0.2">
      <c r="A177" s="1044" t="s">
        <v>582</v>
      </c>
      <c r="B177" s="1045"/>
      <c r="C177" s="792"/>
      <c r="D177" s="793"/>
      <c r="E177" s="743"/>
      <c r="F177" s="1025"/>
      <c r="G177" s="415"/>
      <c r="H177" s="415"/>
      <c r="I177" s="989">
        <f>IF(F176&lt;&gt;"",1,0)</f>
        <v>1</v>
      </c>
      <c r="J177" s="415"/>
      <c r="K177" s="412"/>
      <c r="L177" s="412"/>
      <c r="M177" s="412"/>
      <c r="N177" s="412"/>
      <c r="O177" s="412"/>
      <c r="P177" s="412"/>
      <c r="Q177" s="412"/>
      <c r="R177" s="412"/>
      <c r="S177" s="412"/>
      <c r="T177" s="412"/>
      <c r="U177" s="412"/>
      <c r="V177" s="412"/>
      <c r="W177" s="412"/>
      <c r="X177" s="412"/>
      <c r="Y177" s="57"/>
      <c r="Z177" s="57"/>
      <c r="AA177" s="57"/>
      <c r="AB177" s="57"/>
      <c r="AC177" s="57"/>
      <c r="AD177" s="57"/>
      <c r="AE177" s="57"/>
      <c r="AF177" s="57"/>
    </row>
    <row r="178" spans="1:32" ht="6" customHeight="1" x14ac:dyDescent="0.2">
      <c r="A178" s="619"/>
      <c r="B178" s="725"/>
      <c r="C178" s="725"/>
      <c r="D178" s="725"/>
      <c r="E178" s="743"/>
      <c r="F178" s="977"/>
      <c r="G178" s="415"/>
      <c r="H178" s="415"/>
      <c r="I178" s="989"/>
      <c r="J178" s="415"/>
      <c r="K178" s="412"/>
      <c r="L178" s="412"/>
      <c r="M178" s="412"/>
      <c r="N178" s="412"/>
      <c r="O178" s="412"/>
      <c r="P178" s="412"/>
      <c r="Q178" s="412"/>
      <c r="R178" s="412"/>
      <c r="S178" s="412"/>
      <c r="T178" s="412"/>
      <c r="U178" s="412"/>
      <c r="V178" s="412"/>
      <c r="W178" s="412"/>
      <c r="X178" s="412"/>
      <c r="Y178" s="57"/>
      <c r="Z178" s="57"/>
      <c r="AA178" s="57"/>
      <c r="AB178" s="57"/>
      <c r="AC178" s="57"/>
      <c r="AD178" s="57"/>
      <c r="AE178" s="57"/>
      <c r="AF178" s="57"/>
    </row>
    <row r="179" spans="1:32" ht="60.75" customHeight="1" x14ac:dyDescent="0.2">
      <c r="A179" s="1056" t="s">
        <v>585</v>
      </c>
      <c r="B179" s="1057"/>
      <c r="C179" s="725"/>
      <c r="D179" s="794"/>
      <c r="E179" s="795"/>
      <c r="F179" s="980"/>
      <c r="I179" s="989"/>
      <c r="K179" s="412"/>
      <c r="L179" s="412"/>
      <c r="M179" s="412"/>
      <c r="N179" s="412"/>
      <c r="O179" s="412"/>
      <c r="P179" s="412"/>
      <c r="Q179" s="412"/>
      <c r="R179" s="412"/>
      <c r="S179" s="412"/>
      <c r="T179" s="412"/>
      <c r="U179" s="412"/>
      <c r="V179" s="412"/>
      <c r="W179" s="412"/>
      <c r="X179" s="412"/>
      <c r="Y179" s="57"/>
      <c r="Z179" s="57"/>
      <c r="AA179" s="57"/>
      <c r="AB179" s="57"/>
      <c r="AC179" s="57"/>
      <c r="AD179" s="57"/>
      <c r="AE179" s="57"/>
      <c r="AF179" s="57"/>
    </row>
    <row r="180" spans="1:32" ht="6" customHeight="1" x14ac:dyDescent="0.2">
      <c r="A180" s="619"/>
      <c r="B180" s="725"/>
      <c r="C180" s="725"/>
      <c r="D180" s="725"/>
      <c r="E180" s="743"/>
      <c r="F180" s="980"/>
      <c r="K180" s="412"/>
      <c r="L180" s="412"/>
      <c r="M180" s="412"/>
      <c r="N180" s="412"/>
      <c r="O180" s="412"/>
      <c r="P180" s="412"/>
      <c r="Q180" s="412"/>
      <c r="R180" s="412"/>
      <c r="S180" s="412"/>
      <c r="T180" s="412"/>
      <c r="U180" s="412"/>
      <c r="V180" s="412"/>
      <c r="W180" s="412"/>
      <c r="X180" s="412"/>
      <c r="Y180" s="57"/>
      <c r="Z180" s="57"/>
      <c r="AA180" s="57"/>
      <c r="AB180" s="57"/>
      <c r="AC180" s="57"/>
      <c r="AD180" s="57"/>
      <c r="AE180" s="57"/>
      <c r="AF180" s="57"/>
    </row>
    <row r="181" spans="1:32" ht="25.5" customHeight="1" x14ac:dyDescent="0.2">
      <c r="A181" s="413" t="s">
        <v>583</v>
      </c>
      <c r="B181" s="410"/>
      <c r="C181" s="410"/>
      <c r="D181" s="180"/>
      <c r="E181" s="411"/>
      <c r="F181" s="980"/>
      <c r="K181" s="412"/>
      <c r="L181" s="412"/>
      <c r="M181" s="412"/>
      <c r="N181" s="412"/>
      <c r="O181" s="412"/>
      <c r="P181" s="412"/>
      <c r="Q181" s="412"/>
      <c r="R181" s="412"/>
      <c r="S181" s="412"/>
      <c r="T181" s="412"/>
      <c r="U181" s="412"/>
      <c r="V181" s="412"/>
      <c r="W181" s="412"/>
      <c r="X181" s="412"/>
      <c r="Y181" s="57"/>
      <c r="Z181" s="57"/>
      <c r="AA181" s="57"/>
      <c r="AB181" s="57"/>
      <c r="AC181" s="57"/>
      <c r="AD181" s="57"/>
      <c r="AE181" s="57"/>
      <c r="AF181" s="57"/>
    </row>
    <row r="182" spans="1:32" ht="57" customHeight="1" x14ac:dyDescent="0.2">
      <c r="A182" s="1053" t="str">
        <f>"By sending this return I certify that the Governing Body/Finance Committee has agreed the figures presented here as a true and accurate record of the approved "&amp;'Fin.Yr Lookups'!A5&amp;" budget and that this budget has been entered and fixed on to the school's financial accounting system.
An authorised hardcopy of the document has been retained at the school."</f>
        <v>By sending this return I certify that the Governing Body/Finance Committee has agreed the figures presented here as a true and accurate record of the approved 2020-21 budget and that this budget has been entered and fixed on to the school's financial accounting system.
An authorised hardcopy of the document has been retained at the school.</v>
      </c>
      <c r="B182" s="1054"/>
      <c r="C182" s="1054"/>
      <c r="D182" s="1054"/>
      <c r="E182" s="1055"/>
      <c r="F182" s="980"/>
      <c r="K182" s="412"/>
      <c r="L182" s="412"/>
      <c r="M182" s="412"/>
      <c r="N182" s="412"/>
      <c r="O182" s="412"/>
      <c r="P182" s="412"/>
      <c r="Q182" s="412"/>
      <c r="R182" s="412"/>
      <c r="S182" s="412"/>
      <c r="T182" s="412"/>
      <c r="U182" s="412"/>
      <c r="V182" s="412"/>
      <c r="W182" s="412"/>
      <c r="X182" s="412"/>
      <c r="Y182" s="57"/>
      <c r="Z182" s="57"/>
      <c r="AA182" s="57"/>
      <c r="AB182" s="57"/>
      <c r="AC182" s="57"/>
      <c r="AD182" s="57"/>
      <c r="AE182" s="57"/>
      <c r="AF182" s="57"/>
    </row>
    <row r="183" spans="1:32" ht="25.5" customHeight="1" x14ac:dyDescent="0.2">
      <c r="A183" s="796" t="s">
        <v>584</v>
      </c>
      <c r="B183" s="1048"/>
      <c r="C183" s="1049"/>
      <c r="D183" s="1049"/>
      <c r="E183" s="1050"/>
      <c r="F183" s="1028" t="str">
        <f>IF(OR(B183="(please enter your name here if you are able to certify the above statement as being correct)",B183=""),"Headteacher -  please enter your name to certify this return before sending it to the Local Authority","")</f>
        <v>Headteacher -  please enter your name to certify this return before sending it to the Local Authority</v>
      </c>
      <c r="G183" s="1029"/>
      <c r="H183" s="973"/>
      <c r="I183" s="989">
        <f>IF(OR(B183="",B183="(please enter your name here if you are able to certify the above statement as being correct)"),1,0)</f>
        <v>1</v>
      </c>
      <c r="J183" s="412"/>
      <c r="K183" s="412"/>
      <c r="L183" s="412"/>
      <c r="M183" s="412"/>
      <c r="N183" s="412"/>
      <c r="O183" s="412"/>
      <c r="P183" s="412"/>
      <c r="Q183" s="412"/>
      <c r="R183" s="412"/>
      <c r="S183" s="412"/>
      <c r="T183" s="412"/>
      <c r="U183" s="412"/>
      <c r="V183" s="412"/>
      <c r="W183" s="412"/>
      <c r="X183" s="412"/>
      <c r="Y183" s="57"/>
      <c r="Z183" s="57"/>
      <c r="AA183" s="57"/>
      <c r="AB183" s="57"/>
      <c r="AC183" s="57"/>
      <c r="AD183" s="57"/>
      <c r="AE183" s="57"/>
      <c r="AF183" s="57"/>
    </row>
    <row r="184" spans="1:32" ht="6" customHeight="1" x14ac:dyDescent="0.2">
      <c r="A184" s="408"/>
      <c r="B184" s="409"/>
      <c r="C184" s="409"/>
      <c r="D184" s="393"/>
      <c r="E184" s="391"/>
      <c r="F184" s="980"/>
      <c r="K184" s="412"/>
      <c r="L184" s="412"/>
      <c r="M184" s="412"/>
      <c r="N184" s="412"/>
      <c r="O184" s="412"/>
      <c r="P184" s="412"/>
      <c r="Q184" s="412"/>
      <c r="R184" s="412"/>
      <c r="S184" s="412"/>
      <c r="T184" s="412"/>
      <c r="U184" s="412"/>
      <c r="V184" s="412"/>
      <c r="W184" s="412"/>
      <c r="X184" s="412"/>
      <c r="Y184" s="57"/>
      <c r="Z184" s="57"/>
      <c r="AA184" s="57"/>
      <c r="AB184" s="57"/>
      <c r="AC184" s="57"/>
      <c r="AD184" s="57"/>
      <c r="AE184" s="57"/>
      <c r="AF184" s="57"/>
    </row>
    <row r="185" spans="1:32" ht="66.75" customHeight="1" x14ac:dyDescent="0.2">
      <c r="A185" s="1035" t="str">
        <f>IF(ISERROR(I189&gt;0),"",IF(I189&gt;0,"Please address all issues detailed in column F before submitting this budget return to the Schools Finance Team",IF(A186&lt;&gt;"","Thank you. Whilst the Budget Return Notification is complete, one or more points of concern are listed below. These may be queried by the Local Authority and further information or amendments could be required from you to support your return.","Thank you, this "&amp;'Fin.Yr Lookups'!A5&amp;" Budget Plan Notification Return is complete and is ready to be submitted to the Schools Finance Team")))</f>
        <v>Please address all issues detailed in column F before submitting this budget return to the Schools Finance Team</v>
      </c>
      <c r="B185" s="1036"/>
      <c r="C185" s="1036"/>
      <c r="D185" s="1036"/>
      <c r="E185" s="1037"/>
      <c r="F185" s="980"/>
      <c r="K185" s="412"/>
      <c r="L185" s="412"/>
      <c r="M185" s="412"/>
      <c r="N185" s="412"/>
      <c r="O185" s="412"/>
      <c r="P185" s="412"/>
      <c r="Q185" s="412"/>
      <c r="R185" s="412"/>
      <c r="S185" s="412"/>
      <c r="T185" s="412"/>
      <c r="U185" s="412"/>
      <c r="V185" s="412"/>
      <c r="W185" s="412"/>
      <c r="X185" s="412"/>
      <c r="Y185" s="57"/>
      <c r="Z185" s="57"/>
      <c r="AA185" s="57"/>
      <c r="AB185" s="57"/>
      <c r="AC185" s="57"/>
      <c r="AD185" s="57"/>
      <c r="AE185" s="57"/>
      <c r="AF185" s="57"/>
    </row>
    <row r="186" spans="1:32" ht="36.75" customHeight="1" x14ac:dyDescent="0.2">
      <c r="A186" s="1014" t="str">
        <f>IF(AND(A187="",A188="",A189="",A190="",A191=""),"","Please consider the following point(s) before agreeing this budget and submitting your return, as the Local Authority may query them and request additional information or amendments.")</f>
        <v>Please consider the following point(s) before agreeing this budget and submitting your return, as the Local Authority may query them and request additional information or amendments.</v>
      </c>
      <c r="B186" s="1015"/>
      <c r="C186" s="1015"/>
      <c r="D186" s="1015"/>
      <c r="E186" s="1016"/>
      <c r="F186" s="980"/>
      <c r="K186" s="412"/>
      <c r="L186" s="412"/>
      <c r="M186" s="412"/>
      <c r="N186" s="412"/>
      <c r="O186" s="412"/>
      <c r="P186" s="412"/>
      <c r="Q186" s="412"/>
      <c r="R186" s="412"/>
      <c r="S186" s="412"/>
      <c r="T186" s="412"/>
      <c r="U186" s="412"/>
      <c r="V186" s="412"/>
      <c r="W186" s="412"/>
      <c r="X186" s="412"/>
      <c r="Y186" s="57"/>
      <c r="Z186" s="57"/>
      <c r="AA186" s="57"/>
      <c r="AB186" s="57"/>
      <c r="AC186" s="57"/>
      <c r="AD186" s="57"/>
      <c r="AE186" s="57"/>
      <c r="AF186" s="57"/>
    </row>
    <row r="187" spans="1:32" ht="36.75" customHeight="1" x14ac:dyDescent="0.2">
      <c r="A187" s="1020" t="str">
        <f>IF(A117="Deficit budget. Please contact the Schools Finance Monitoring Team","The Governing Body is not authorised to set a deficit budget. Please contact the Schools Finance Team for advice","")</f>
        <v/>
      </c>
      <c r="B187" s="1021"/>
      <c r="C187" s="1021"/>
      <c r="D187" s="1021"/>
      <c r="E187" s="1022"/>
      <c r="F187" s="980"/>
      <c r="I187" s="988">
        <f>IF(A187="",0,1)</f>
        <v>0</v>
      </c>
      <c r="K187" s="412"/>
      <c r="L187" s="412"/>
      <c r="M187" s="412"/>
      <c r="N187" s="412"/>
      <c r="O187" s="412"/>
      <c r="P187" s="412"/>
      <c r="Q187" s="412"/>
      <c r="R187" s="412"/>
      <c r="S187" s="412"/>
      <c r="T187" s="412"/>
      <c r="U187" s="412"/>
      <c r="V187" s="412"/>
      <c r="W187" s="412"/>
      <c r="X187" s="412"/>
      <c r="Y187" s="57"/>
      <c r="Z187" s="57"/>
      <c r="AA187" s="57"/>
      <c r="AB187" s="57"/>
      <c r="AC187" s="57"/>
      <c r="AD187" s="57"/>
      <c r="AE187" s="57"/>
      <c r="AF187" s="57"/>
    </row>
    <row r="188" spans="1:32" ht="37.5" customHeight="1" x14ac:dyDescent="0.2">
      <c r="A188" s="1017" t="str">
        <f>IF(ISERROR(IF(E164&gt;0.9,"'The percentage of funding budgeted to be spent on staffing is high and may not be sustainable. After monitoring your budget, the Schools Finance Team may contact you regarding this issue.","")),"",IF(E164&gt;0.9,"'The percentage of funding budgeted to be spent on staffing is high and may not be sustainable. After monitoring your budget, the Schools Finance Team may contact you regarding this issue.",""))</f>
        <v/>
      </c>
      <c r="B188" s="1018"/>
      <c r="C188" s="1018"/>
      <c r="D188" s="1018"/>
      <c r="E188" s="1019"/>
      <c r="F188" s="980"/>
      <c r="K188" s="412"/>
      <c r="L188" s="412"/>
      <c r="M188" s="412"/>
      <c r="N188" s="412"/>
      <c r="O188" s="412"/>
      <c r="P188" s="412"/>
      <c r="Q188" s="412"/>
      <c r="R188" s="412"/>
      <c r="S188" s="412"/>
      <c r="T188" s="412"/>
      <c r="U188" s="412"/>
      <c r="V188" s="412"/>
      <c r="W188" s="412"/>
      <c r="X188" s="412"/>
      <c r="Y188" s="57"/>
      <c r="Z188" s="57"/>
      <c r="AA188" s="57"/>
      <c r="AB188" s="57"/>
      <c r="AC188" s="57"/>
      <c r="AD188" s="57"/>
      <c r="AE188" s="57"/>
      <c r="AF188" s="57"/>
    </row>
    <row r="189" spans="1:32" ht="82.5" customHeight="1" x14ac:dyDescent="0.2">
      <c r="A189" s="1017" t="str">
        <f>IF(AND(E141=0,D122&gt;0),"You have assumed that all of your unallocated funds will be spent in "&amp;'Fin.Yr Lookups'!A5&amp;" on unbudgeted items. Is this correct?  If you anticipate that your year-end closing balance will be greater than zero, then some of these funds should be allocated to a contingency earmarked for use after "&amp;'Fin.Yr Lookups'!A5&amp;". Failure to address this issue may understate the year-end balance, distort your multi-year budget projections and reduce the accuracy of information sent to the Schools Forum.","")</f>
        <v>You have assumed that all of your unallocated funds will be spent in 2020-21 on unbudgeted items. Is this correct?  If you anticipate that your year-end closing balance will be greater than zero, then some of these funds should be allocated to a contingency earmarked for use after 2020-21. Failure to address this issue may understate the year-end balance, distort your multi-year budget projections and reduce the accuracy of information sent to the Schools Forum.</v>
      </c>
      <c r="B189" s="1018"/>
      <c r="C189" s="1018"/>
      <c r="D189" s="1018"/>
      <c r="E189" s="1019"/>
      <c r="F189" s="980"/>
      <c r="I189" s="988">
        <f>SUM(I1:I188)</f>
        <v>2</v>
      </c>
      <c r="K189" s="412"/>
      <c r="L189" s="412"/>
      <c r="M189" s="412"/>
      <c r="N189" s="412"/>
      <c r="O189" s="412"/>
      <c r="P189" s="412"/>
      <c r="Q189" s="412"/>
      <c r="R189" s="412"/>
      <c r="S189" s="412"/>
      <c r="T189" s="412"/>
      <c r="U189" s="412"/>
      <c r="V189" s="412"/>
      <c r="W189" s="412"/>
      <c r="X189" s="412"/>
      <c r="Y189" s="57"/>
      <c r="Z189" s="57"/>
      <c r="AA189" s="57"/>
      <c r="AB189" s="57"/>
      <c r="AC189" s="57"/>
      <c r="AD189" s="57"/>
      <c r="AE189" s="57"/>
      <c r="AF189" s="57"/>
    </row>
    <row r="190" spans="1:32" ht="93.75" customHeight="1" x14ac:dyDescent="0.2">
      <c r="A190" s="1017" t="str">
        <f>IF(ISERROR(E126/(E29+E46)&gt;0.02),"",IF(E126/(E29+E46)&gt;0.02,"Your General Contingency allocation exceeds 2% of your in-year budget. If your budget is robust, this most likely exceeds the amount required to cover unbudgeted items. You should look to allocate some of these funds to an earmarked "&amp;'Fin.Yr Lookups'!A5&amp;" contingency, or to a contingency earmarked for use after "&amp;'Fin.Yr Lookups'!A5&amp;". Failure to address this issue may understate the year-end balance, distort your multi-year budget projections and reduce the accuracy of information sent to the Schools Forum.",""))</f>
        <v>Your General Contingency allocation exceeds 2% of your in-year budget. If your budget is robust, this most likely exceeds the amount required to cover unbudgeted items. You should look to allocate some of these funds to an earmarked 2020-21 contingency, or to a contingency earmarked for use after 2020-21. Failure to address this issue may understate the year-end balance, distort your multi-year budget projections and reduce the accuracy of information sent to the Schools Forum.</v>
      </c>
      <c r="B190" s="1018"/>
      <c r="C190" s="1018"/>
      <c r="D190" s="1018"/>
      <c r="E190" s="1019"/>
      <c r="F190" s="980"/>
      <c r="K190" s="412"/>
      <c r="L190" s="412"/>
      <c r="M190" s="412"/>
      <c r="N190" s="412"/>
      <c r="O190" s="412"/>
      <c r="P190" s="412"/>
      <c r="Q190" s="412"/>
      <c r="R190" s="412"/>
      <c r="S190" s="412"/>
      <c r="T190" s="412"/>
      <c r="U190" s="412"/>
      <c r="V190" s="412"/>
      <c r="W190" s="412"/>
      <c r="X190" s="412"/>
      <c r="Y190" s="57"/>
      <c r="Z190" s="57"/>
      <c r="AA190" s="57"/>
      <c r="AB190" s="57"/>
      <c r="AC190" s="57"/>
      <c r="AD190" s="57"/>
      <c r="AE190" s="57"/>
      <c r="AF190" s="57"/>
    </row>
    <row r="191" spans="1:32" ht="47.25" customHeight="1" x14ac:dyDescent="0.2">
      <c r="A191" s="1017" t="str">
        <f>IF(E54=0,"The revenue brought forward balance should not normally be zero &amp; may be queried by the Schools Finance Team after this return has been submitted. Please ensure that your actual or estimated opening balance is entered on the Income sheet.","")</f>
        <v/>
      </c>
      <c r="B191" s="1018"/>
      <c r="C191" s="1018"/>
      <c r="D191" s="1018"/>
      <c r="E191" s="1019"/>
      <c r="F191" s="980"/>
      <c r="K191" s="412"/>
      <c r="L191" s="412"/>
      <c r="M191" s="412"/>
      <c r="N191" s="412"/>
      <c r="O191" s="412"/>
      <c r="P191" s="412"/>
      <c r="Q191" s="412"/>
      <c r="R191" s="412"/>
      <c r="S191" s="412"/>
      <c r="T191" s="412"/>
      <c r="U191" s="412"/>
      <c r="V191" s="412"/>
      <c r="W191" s="412"/>
      <c r="X191" s="412"/>
      <c r="Y191" s="57"/>
      <c r="Z191" s="57"/>
      <c r="AA191" s="57"/>
      <c r="AB191" s="57"/>
      <c r="AC191" s="57"/>
      <c r="AD191" s="57"/>
      <c r="AE191" s="57"/>
      <c r="AF191" s="57"/>
    </row>
    <row r="192" spans="1:32" ht="9.75" customHeight="1" thickBot="1" x14ac:dyDescent="0.25">
      <c r="A192" s="394"/>
      <c r="B192" s="395"/>
      <c r="C192" s="395"/>
      <c r="D192" s="396"/>
      <c r="E192" s="392"/>
      <c r="F192" s="980"/>
      <c r="K192" s="412"/>
      <c r="L192" s="412"/>
      <c r="M192" s="412"/>
      <c r="N192" s="412"/>
      <c r="O192" s="412"/>
      <c r="P192" s="412"/>
      <c r="Q192" s="412"/>
      <c r="R192" s="412"/>
      <c r="S192" s="412"/>
      <c r="T192" s="412"/>
      <c r="U192" s="412"/>
      <c r="V192" s="412"/>
      <c r="W192" s="412"/>
      <c r="X192" s="412"/>
      <c r="Y192" s="57"/>
      <c r="Z192" s="57"/>
      <c r="AA192" s="57"/>
      <c r="AB192" s="57"/>
      <c r="AC192" s="57"/>
      <c r="AD192" s="57"/>
      <c r="AE192" s="57"/>
      <c r="AF192" s="57"/>
    </row>
    <row r="193" spans="4:33" x14ac:dyDescent="0.2">
      <c r="D193" s="182"/>
      <c r="E193" s="182"/>
      <c r="F193" s="980"/>
      <c r="K193" s="412"/>
      <c r="L193" s="412"/>
      <c r="M193" s="412"/>
      <c r="N193" s="412"/>
      <c r="O193" s="412"/>
      <c r="P193" s="412"/>
      <c r="Q193" s="412"/>
      <c r="R193" s="412"/>
      <c r="S193" s="412"/>
      <c r="T193" s="412"/>
      <c r="U193" s="412"/>
      <c r="V193" s="412"/>
      <c r="W193" s="412"/>
      <c r="X193" s="412"/>
      <c r="Y193" s="57"/>
      <c r="Z193" s="57"/>
      <c r="AA193" s="57"/>
      <c r="AB193" s="57"/>
      <c r="AC193" s="57"/>
      <c r="AD193" s="57"/>
      <c r="AE193" s="57"/>
      <c r="AF193" s="57"/>
    </row>
    <row r="194" spans="4:33" x14ac:dyDescent="0.2">
      <c r="F194" s="980"/>
      <c r="M194" s="412"/>
      <c r="N194" s="412"/>
      <c r="O194" s="412"/>
      <c r="P194" s="412"/>
      <c r="Q194" s="412"/>
      <c r="R194" s="412"/>
      <c r="S194" s="412"/>
      <c r="T194" s="412"/>
      <c r="U194" s="412"/>
      <c r="V194" s="412"/>
      <c r="W194" s="412"/>
      <c r="X194" s="412"/>
    </row>
    <row r="195" spans="4:33" x14ac:dyDescent="0.2">
      <c r="F195" s="980"/>
      <c r="M195" s="412"/>
      <c r="N195" s="412"/>
      <c r="O195" s="412"/>
      <c r="P195" s="412"/>
      <c r="Q195" s="412"/>
      <c r="R195" s="412"/>
      <c r="S195" s="412"/>
      <c r="T195" s="412"/>
      <c r="U195" s="412"/>
      <c r="V195" s="412"/>
      <c r="W195" s="412"/>
      <c r="X195" s="412"/>
    </row>
    <row r="196" spans="4:33" x14ac:dyDescent="0.2">
      <c r="F196" s="980"/>
      <c r="M196" s="412"/>
      <c r="N196" s="412"/>
      <c r="O196" s="412"/>
      <c r="P196" s="412"/>
      <c r="Q196" s="412"/>
      <c r="R196" s="412"/>
      <c r="S196" s="412"/>
      <c r="T196" s="412"/>
      <c r="U196" s="412"/>
      <c r="V196" s="412"/>
      <c r="W196" s="412"/>
      <c r="X196" s="412"/>
    </row>
    <row r="197" spans="4:33" x14ac:dyDescent="0.2">
      <c r="F197" s="980"/>
      <c r="M197" s="412"/>
      <c r="N197" s="412"/>
      <c r="O197" s="412"/>
      <c r="P197" s="412"/>
      <c r="Q197" s="412"/>
      <c r="R197" s="412"/>
      <c r="S197" s="412"/>
      <c r="T197" s="412"/>
      <c r="U197" s="412"/>
      <c r="V197" s="412"/>
      <c r="W197" s="412"/>
      <c r="X197" s="412"/>
    </row>
    <row r="198" spans="4:33" s="46" customFormat="1" x14ac:dyDescent="0.2">
      <c r="F198" s="980"/>
      <c r="I198" s="988"/>
      <c r="M198" s="412"/>
      <c r="N198" s="412"/>
      <c r="O198" s="412"/>
      <c r="P198" s="412"/>
      <c r="Q198" s="412"/>
      <c r="R198" s="412"/>
      <c r="S198" s="412"/>
      <c r="T198" s="412"/>
      <c r="U198" s="412"/>
      <c r="V198" s="412"/>
      <c r="W198" s="412"/>
      <c r="X198" s="412"/>
      <c r="AG198" s="57"/>
    </row>
    <row r="199" spans="4:33" s="46" customFormat="1" x14ac:dyDescent="0.2">
      <c r="F199" s="980"/>
      <c r="I199" s="988"/>
      <c r="M199" s="412"/>
      <c r="N199" s="412"/>
      <c r="O199" s="412"/>
      <c r="P199" s="412"/>
      <c r="Q199" s="412"/>
      <c r="R199" s="412"/>
      <c r="S199" s="412"/>
      <c r="T199" s="412"/>
      <c r="U199" s="412"/>
      <c r="V199" s="412"/>
      <c r="W199" s="412"/>
      <c r="X199" s="412"/>
      <c r="AG199" s="57"/>
    </row>
    <row r="200" spans="4:33" s="46" customFormat="1" x14ac:dyDescent="0.2">
      <c r="F200" s="980"/>
      <c r="I200" s="988"/>
      <c r="M200" s="412"/>
      <c r="N200" s="412"/>
      <c r="O200" s="412"/>
      <c r="P200" s="412"/>
      <c r="Q200" s="412"/>
      <c r="R200" s="412"/>
      <c r="S200" s="412"/>
      <c r="T200" s="412"/>
      <c r="U200" s="412"/>
      <c r="V200" s="412"/>
      <c r="W200" s="412"/>
      <c r="X200" s="412"/>
      <c r="AG200" s="57"/>
    </row>
    <row r="201" spans="4:33" s="46" customFormat="1" x14ac:dyDescent="0.2">
      <c r="F201" s="980"/>
      <c r="I201" s="988"/>
      <c r="M201" s="412"/>
      <c r="N201" s="412"/>
      <c r="O201" s="412"/>
      <c r="P201" s="412"/>
      <c r="Q201" s="412"/>
      <c r="R201" s="412"/>
      <c r="S201" s="412"/>
      <c r="T201" s="412"/>
      <c r="U201" s="412"/>
      <c r="V201" s="412"/>
      <c r="W201" s="412"/>
      <c r="X201" s="412"/>
      <c r="AG201" s="57"/>
    </row>
    <row r="202" spans="4:33" s="46" customFormat="1" x14ac:dyDescent="0.2">
      <c r="F202" s="980"/>
      <c r="I202" s="988"/>
      <c r="M202" s="412"/>
      <c r="N202" s="412"/>
      <c r="O202" s="412"/>
      <c r="P202" s="412"/>
      <c r="Q202" s="412"/>
      <c r="R202" s="412"/>
      <c r="S202" s="412"/>
      <c r="T202" s="412"/>
      <c r="U202" s="412"/>
      <c r="V202" s="412"/>
      <c r="W202" s="412"/>
      <c r="X202" s="412"/>
      <c r="AG202" s="57"/>
    </row>
    <row r="203" spans="4:33" s="46" customFormat="1" x14ac:dyDescent="0.2">
      <c r="F203" s="980"/>
      <c r="I203" s="988"/>
      <c r="M203" s="412"/>
      <c r="N203" s="412"/>
      <c r="O203" s="412"/>
      <c r="P203" s="412"/>
      <c r="Q203" s="412"/>
      <c r="R203" s="412"/>
      <c r="S203" s="412"/>
      <c r="T203" s="412"/>
      <c r="U203" s="412"/>
      <c r="V203" s="412"/>
      <c r="W203" s="412"/>
      <c r="X203" s="412"/>
      <c r="AG203" s="57"/>
    </row>
    <row r="204" spans="4:33" s="46" customFormat="1" x14ac:dyDescent="0.2">
      <c r="F204" s="980"/>
      <c r="I204" s="988"/>
      <c r="M204" s="412"/>
      <c r="N204" s="412"/>
      <c r="O204" s="412"/>
      <c r="P204" s="412"/>
      <c r="Q204" s="412"/>
      <c r="R204" s="412"/>
      <c r="S204" s="412"/>
      <c r="T204" s="412"/>
      <c r="U204" s="412"/>
      <c r="V204" s="412"/>
      <c r="W204" s="412"/>
      <c r="X204" s="412"/>
      <c r="AG204" s="57"/>
    </row>
    <row r="205" spans="4:33" s="46" customFormat="1" x14ac:dyDescent="0.2">
      <c r="F205" s="980"/>
      <c r="I205" s="988"/>
      <c r="M205" s="412"/>
      <c r="N205" s="412"/>
      <c r="O205" s="412"/>
      <c r="P205" s="412"/>
      <c r="Q205" s="412"/>
      <c r="R205" s="412"/>
      <c r="S205" s="412"/>
      <c r="T205" s="412"/>
      <c r="U205" s="412"/>
      <c r="V205" s="412"/>
      <c r="W205" s="412"/>
      <c r="X205" s="412"/>
      <c r="AG205" s="57"/>
    </row>
    <row r="206" spans="4:33" s="46" customFormat="1" x14ac:dyDescent="0.2">
      <c r="F206" s="980"/>
      <c r="I206" s="988"/>
      <c r="M206" s="412"/>
      <c r="N206" s="412"/>
      <c r="O206" s="412"/>
      <c r="P206" s="412"/>
      <c r="Q206" s="412"/>
      <c r="R206" s="412"/>
      <c r="S206" s="412"/>
      <c r="T206" s="412"/>
      <c r="U206" s="412"/>
      <c r="V206" s="412"/>
      <c r="W206" s="412"/>
      <c r="X206" s="412"/>
      <c r="AG206" s="57"/>
    </row>
    <row r="207" spans="4:33" s="46" customFormat="1" x14ac:dyDescent="0.2">
      <c r="F207" s="980"/>
      <c r="I207" s="988"/>
      <c r="M207" s="412"/>
      <c r="N207" s="412"/>
      <c r="O207" s="412"/>
      <c r="P207" s="412"/>
      <c r="Q207" s="412"/>
      <c r="R207" s="412"/>
      <c r="S207" s="412"/>
      <c r="T207" s="412"/>
      <c r="U207" s="412"/>
      <c r="V207" s="412"/>
      <c r="W207" s="412"/>
      <c r="X207" s="412"/>
      <c r="AG207" s="57"/>
    </row>
    <row r="208" spans="4:33" s="46" customFormat="1" x14ac:dyDescent="0.2">
      <c r="F208" s="980"/>
      <c r="I208" s="988"/>
      <c r="M208" s="412"/>
      <c r="N208" s="412"/>
      <c r="O208" s="412"/>
      <c r="P208" s="412"/>
      <c r="Q208" s="412"/>
      <c r="R208" s="412"/>
      <c r="S208" s="412"/>
      <c r="T208" s="412"/>
      <c r="U208" s="412"/>
      <c r="V208" s="412"/>
      <c r="W208" s="412"/>
      <c r="X208" s="412"/>
      <c r="AG208" s="57"/>
    </row>
    <row r="209" spans="6:33" s="46" customFormat="1" x14ac:dyDescent="0.2">
      <c r="F209" s="980"/>
      <c r="I209" s="988"/>
      <c r="M209" s="412"/>
      <c r="N209" s="412"/>
      <c r="O209" s="412"/>
      <c r="P209" s="412"/>
      <c r="Q209" s="412"/>
      <c r="R209" s="412"/>
      <c r="S209" s="412"/>
      <c r="T209" s="412"/>
      <c r="U209" s="412"/>
      <c r="V209" s="412"/>
      <c r="W209" s="412"/>
      <c r="X209" s="412"/>
      <c r="AG209" s="57"/>
    </row>
    <row r="210" spans="6:33" s="46" customFormat="1" x14ac:dyDescent="0.2">
      <c r="F210" s="980"/>
      <c r="I210" s="988"/>
      <c r="M210" s="412"/>
      <c r="N210" s="412"/>
      <c r="O210" s="412"/>
      <c r="P210" s="412"/>
      <c r="Q210" s="412"/>
      <c r="R210" s="412"/>
      <c r="S210" s="412"/>
      <c r="T210" s="412"/>
      <c r="U210" s="412"/>
      <c r="V210" s="412"/>
      <c r="W210" s="412"/>
      <c r="X210" s="412"/>
      <c r="AG210" s="57"/>
    </row>
    <row r="211" spans="6:33" s="46" customFormat="1" x14ac:dyDescent="0.2">
      <c r="F211" s="980"/>
      <c r="I211" s="988"/>
      <c r="M211" s="412"/>
      <c r="N211" s="412"/>
      <c r="O211" s="412"/>
      <c r="P211" s="412"/>
      <c r="Q211" s="412"/>
      <c r="R211" s="412"/>
      <c r="S211" s="412"/>
      <c r="T211" s="412"/>
      <c r="U211" s="412"/>
      <c r="V211" s="412"/>
      <c r="W211" s="412"/>
      <c r="X211" s="412"/>
    </row>
    <row r="212" spans="6:33" s="46" customFormat="1" x14ac:dyDescent="0.2">
      <c r="F212" s="980"/>
      <c r="I212" s="988"/>
      <c r="M212" s="412"/>
      <c r="N212" s="412"/>
      <c r="O212" s="412"/>
      <c r="P212" s="412"/>
      <c r="Q212" s="412"/>
      <c r="R212" s="412"/>
      <c r="S212" s="412"/>
      <c r="T212" s="412"/>
      <c r="U212" s="412"/>
      <c r="V212" s="412"/>
      <c r="W212" s="412"/>
      <c r="X212" s="412"/>
    </row>
    <row r="213" spans="6:33" s="46" customFormat="1" x14ac:dyDescent="0.2">
      <c r="F213" s="980"/>
      <c r="I213" s="988"/>
      <c r="M213" s="412"/>
      <c r="N213" s="412"/>
      <c r="O213" s="412"/>
      <c r="P213" s="412"/>
      <c r="Q213" s="412"/>
      <c r="R213" s="412"/>
      <c r="S213" s="412"/>
      <c r="T213" s="412"/>
      <c r="U213" s="412"/>
      <c r="V213" s="412"/>
      <c r="W213" s="412"/>
      <c r="X213" s="412"/>
    </row>
    <row r="214" spans="6:33" s="46" customFormat="1" x14ac:dyDescent="0.2">
      <c r="F214" s="980"/>
      <c r="I214" s="988"/>
      <c r="M214" s="412"/>
      <c r="N214" s="412"/>
      <c r="O214" s="412"/>
      <c r="P214" s="412"/>
      <c r="Q214" s="412"/>
      <c r="R214" s="412"/>
      <c r="S214" s="412"/>
      <c r="T214" s="412"/>
      <c r="U214" s="412"/>
      <c r="V214" s="412"/>
      <c r="W214" s="412"/>
      <c r="X214" s="412"/>
    </row>
    <row r="215" spans="6:33" s="46" customFormat="1" x14ac:dyDescent="0.2">
      <c r="F215" s="980"/>
      <c r="I215" s="988"/>
      <c r="M215" s="412"/>
      <c r="N215" s="412"/>
      <c r="O215" s="412"/>
      <c r="P215" s="412"/>
      <c r="Q215" s="412"/>
      <c r="R215" s="412"/>
      <c r="S215" s="412"/>
      <c r="T215" s="412"/>
      <c r="U215" s="412"/>
      <c r="V215" s="412"/>
      <c r="W215" s="412"/>
      <c r="X215" s="412"/>
    </row>
    <row r="216" spans="6:33" s="46" customFormat="1" x14ac:dyDescent="0.2">
      <c r="F216" s="980"/>
      <c r="I216" s="988"/>
      <c r="M216" s="412"/>
      <c r="N216" s="412"/>
      <c r="O216" s="412"/>
      <c r="P216" s="412"/>
      <c r="Q216" s="412"/>
      <c r="R216" s="412"/>
      <c r="S216" s="412"/>
      <c r="T216" s="412"/>
      <c r="U216" s="412"/>
      <c r="V216" s="412"/>
      <c r="W216" s="412"/>
      <c r="X216" s="412"/>
    </row>
    <row r="217" spans="6:33" s="46" customFormat="1" x14ac:dyDescent="0.2">
      <c r="F217" s="980"/>
      <c r="I217" s="988"/>
      <c r="M217" s="412"/>
      <c r="N217" s="412"/>
      <c r="O217" s="412"/>
      <c r="P217" s="412"/>
      <c r="Q217" s="412"/>
      <c r="R217" s="412"/>
      <c r="S217" s="412"/>
      <c r="T217" s="412"/>
      <c r="U217" s="412"/>
      <c r="V217" s="412"/>
      <c r="W217" s="412"/>
      <c r="X217" s="412"/>
    </row>
    <row r="218" spans="6:33" s="46" customFormat="1" x14ac:dyDescent="0.2">
      <c r="F218" s="980"/>
      <c r="I218" s="988"/>
      <c r="M218" s="412"/>
      <c r="N218" s="412"/>
      <c r="O218" s="412"/>
      <c r="P218" s="412"/>
      <c r="Q218" s="412"/>
      <c r="R218" s="412"/>
      <c r="S218" s="412"/>
      <c r="T218" s="412"/>
      <c r="U218" s="412"/>
      <c r="V218" s="412"/>
      <c r="W218" s="412"/>
      <c r="X218" s="412"/>
    </row>
    <row r="219" spans="6:33" s="46" customFormat="1" x14ac:dyDescent="0.2">
      <c r="F219" s="980"/>
      <c r="I219" s="988"/>
      <c r="M219" s="412"/>
      <c r="N219" s="412"/>
      <c r="O219" s="412"/>
      <c r="P219" s="412"/>
      <c r="Q219" s="412"/>
      <c r="R219" s="412"/>
      <c r="S219" s="412"/>
      <c r="T219" s="412"/>
      <c r="U219" s="412"/>
      <c r="V219" s="412"/>
      <c r="W219" s="412"/>
      <c r="X219" s="412"/>
    </row>
    <row r="220" spans="6:33" s="46" customFormat="1" x14ac:dyDescent="0.2">
      <c r="F220" s="980"/>
      <c r="I220" s="988"/>
      <c r="M220" s="412"/>
      <c r="N220" s="412"/>
      <c r="O220" s="412"/>
      <c r="P220" s="412"/>
      <c r="Q220" s="412"/>
      <c r="R220" s="412"/>
      <c r="S220" s="412"/>
      <c r="T220" s="412"/>
      <c r="U220" s="412"/>
      <c r="V220" s="412"/>
      <c r="W220" s="412"/>
      <c r="X220" s="412"/>
    </row>
    <row r="221" spans="6:33" s="46" customFormat="1" x14ac:dyDescent="0.2">
      <c r="F221" s="980"/>
      <c r="I221" s="988"/>
      <c r="M221" s="412"/>
      <c r="N221" s="412"/>
      <c r="O221" s="412"/>
      <c r="P221" s="412"/>
      <c r="Q221" s="412"/>
      <c r="R221" s="412"/>
      <c r="S221" s="412"/>
      <c r="T221" s="412"/>
      <c r="U221" s="412"/>
      <c r="V221" s="412"/>
      <c r="W221" s="412"/>
      <c r="X221" s="412"/>
    </row>
    <row r="222" spans="6:33" s="46" customFormat="1" x14ac:dyDescent="0.2">
      <c r="F222" s="980"/>
      <c r="I222" s="988"/>
      <c r="M222" s="412"/>
      <c r="N222" s="412"/>
      <c r="O222" s="412"/>
      <c r="P222" s="412"/>
      <c r="Q222" s="412"/>
      <c r="R222" s="412"/>
      <c r="S222" s="412"/>
      <c r="T222" s="412"/>
      <c r="U222" s="412"/>
      <c r="V222" s="412"/>
      <c r="W222" s="412"/>
      <c r="X222" s="412"/>
      <c r="AG222" s="57"/>
    </row>
    <row r="223" spans="6:33" s="46" customFormat="1" x14ac:dyDescent="0.2">
      <c r="F223" s="980"/>
      <c r="I223" s="988"/>
      <c r="M223" s="412"/>
      <c r="N223" s="412"/>
      <c r="O223" s="412"/>
      <c r="P223" s="412"/>
      <c r="Q223" s="412"/>
      <c r="R223" s="412"/>
      <c r="S223" s="412"/>
      <c r="T223" s="412"/>
      <c r="U223" s="412"/>
      <c r="V223" s="412"/>
      <c r="W223" s="412"/>
      <c r="X223" s="412"/>
      <c r="AG223" s="57"/>
    </row>
    <row r="224" spans="6:33" s="46" customFormat="1" x14ac:dyDescent="0.2">
      <c r="F224" s="980"/>
      <c r="I224" s="988"/>
      <c r="M224" s="412"/>
      <c r="N224" s="412"/>
      <c r="O224" s="412"/>
      <c r="P224" s="412"/>
      <c r="Q224" s="412"/>
      <c r="R224" s="412"/>
      <c r="S224" s="412"/>
      <c r="T224" s="412"/>
      <c r="U224" s="412"/>
      <c r="V224" s="412"/>
      <c r="W224" s="412"/>
      <c r="X224" s="412"/>
      <c r="AG224" s="57"/>
    </row>
    <row r="225" spans="6:33" s="46" customFormat="1" x14ac:dyDescent="0.2">
      <c r="F225" s="980"/>
      <c r="I225" s="988"/>
      <c r="M225" s="412"/>
      <c r="N225" s="412"/>
      <c r="O225" s="412"/>
      <c r="P225" s="412"/>
      <c r="Q225" s="412"/>
      <c r="R225" s="412"/>
      <c r="S225" s="412"/>
      <c r="T225" s="412"/>
      <c r="U225" s="412"/>
      <c r="V225" s="412"/>
      <c r="W225" s="412"/>
      <c r="X225" s="412"/>
      <c r="AG225" s="57"/>
    </row>
    <row r="226" spans="6:33" s="46" customFormat="1" x14ac:dyDescent="0.2">
      <c r="F226" s="980"/>
      <c r="I226" s="988"/>
      <c r="M226" s="412"/>
      <c r="N226" s="412"/>
      <c r="O226" s="412"/>
      <c r="P226" s="412"/>
      <c r="Q226" s="412"/>
      <c r="R226" s="412"/>
      <c r="S226" s="412"/>
      <c r="T226" s="412"/>
      <c r="U226" s="412"/>
      <c r="V226" s="412"/>
      <c r="W226" s="412"/>
      <c r="X226" s="412"/>
      <c r="AG226" s="57"/>
    </row>
    <row r="227" spans="6:33" s="46" customFormat="1" x14ac:dyDescent="0.2">
      <c r="F227" s="980"/>
      <c r="I227" s="988"/>
      <c r="M227" s="412"/>
      <c r="N227" s="412"/>
      <c r="O227" s="412"/>
      <c r="P227" s="412"/>
      <c r="Q227" s="412"/>
      <c r="R227" s="412"/>
      <c r="S227" s="412"/>
      <c r="T227" s="412"/>
      <c r="U227" s="412"/>
      <c r="V227" s="412"/>
      <c r="W227" s="412"/>
      <c r="X227" s="412"/>
      <c r="AG227" s="57"/>
    </row>
    <row r="228" spans="6:33" s="46" customFormat="1" x14ac:dyDescent="0.2">
      <c r="F228" s="980"/>
      <c r="I228" s="988"/>
      <c r="M228" s="412"/>
      <c r="N228" s="412"/>
      <c r="O228" s="412"/>
      <c r="P228" s="412"/>
      <c r="Q228" s="412"/>
      <c r="R228" s="412"/>
      <c r="S228" s="412"/>
      <c r="T228" s="412"/>
      <c r="U228" s="412"/>
      <c r="V228" s="412"/>
      <c r="W228" s="412"/>
      <c r="X228" s="412"/>
      <c r="AG228" s="57"/>
    </row>
    <row r="229" spans="6:33" s="46" customFormat="1" x14ac:dyDescent="0.2">
      <c r="F229" s="980"/>
      <c r="I229" s="988"/>
      <c r="M229" s="412"/>
      <c r="N229" s="412"/>
      <c r="O229" s="412"/>
      <c r="P229" s="412"/>
      <c r="Q229" s="412"/>
      <c r="R229" s="412"/>
      <c r="S229" s="412"/>
      <c r="T229" s="412"/>
      <c r="U229" s="412"/>
      <c r="V229" s="412"/>
      <c r="W229" s="412"/>
      <c r="X229" s="412"/>
      <c r="AG229" s="57"/>
    </row>
    <row r="230" spans="6:33" s="46" customFormat="1" x14ac:dyDescent="0.2">
      <c r="F230" s="980"/>
      <c r="I230" s="988"/>
      <c r="M230" s="412"/>
      <c r="N230" s="412"/>
      <c r="O230" s="412"/>
      <c r="P230" s="412"/>
      <c r="Q230" s="412"/>
      <c r="R230" s="412"/>
      <c r="S230" s="412"/>
      <c r="T230" s="412"/>
      <c r="U230" s="412"/>
      <c r="V230" s="412"/>
      <c r="W230" s="412"/>
      <c r="X230" s="412"/>
      <c r="AG230" s="57"/>
    </row>
    <row r="231" spans="6:33" s="46" customFormat="1" x14ac:dyDescent="0.2">
      <c r="F231" s="980"/>
      <c r="I231" s="988"/>
      <c r="M231" s="412"/>
      <c r="N231" s="412"/>
      <c r="O231" s="412"/>
      <c r="P231" s="412"/>
      <c r="Q231" s="412"/>
      <c r="R231" s="412"/>
      <c r="S231" s="412"/>
      <c r="T231" s="412"/>
      <c r="U231" s="412"/>
      <c r="V231" s="412"/>
      <c r="W231" s="412"/>
      <c r="X231" s="412"/>
      <c r="AG231" s="57"/>
    </row>
    <row r="232" spans="6:33" s="46" customFormat="1" x14ac:dyDescent="0.2">
      <c r="F232" s="980"/>
      <c r="I232" s="988"/>
      <c r="M232" s="412"/>
      <c r="N232" s="412"/>
      <c r="O232" s="412"/>
      <c r="P232" s="412"/>
      <c r="Q232" s="412"/>
      <c r="R232" s="412"/>
      <c r="S232" s="412"/>
      <c r="T232" s="412"/>
      <c r="U232" s="412"/>
      <c r="V232" s="412"/>
      <c r="W232" s="412"/>
      <c r="X232" s="412"/>
      <c r="AG232" s="57"/>
    </row>
    <row r="233" spans="6:33" s="46" customFormat="1" x14ac:dyDescent="0.2">
      <c r="F233" s="980"/>
      <c r="I233" s="988"/>
      <c r="M233" s="412"/>
      <c r="N233" s="412"/>
      <c r="O233" s="412"/>
      <c r="P233" s="412"/>
      <c r="Q233" s="412"/>
      <c r="R233" s="412"/>
      <c r="S233" s="412"/>
      <c r="T233" s="412"/>
      <c r="U233" s="412"/>
      <c r="V233" s="412"/>
      <c r="W233" s="412"/>
      <c r="X233" s="412"/>
      <c r="AG233" s="57"/>
    </row>
    <row r="234" spans="6:33" s="46" customFormat="1" x14ac:dyDescent="0.2">
      <c r="F234" s="980"/>
      <c r="I234" s="988"/>
      <c r="M234" s="412"/>
      <c r="N234" s="412"/>
      <c r="O234" s="412"/>
      <c r="P234" s="412"/>
      <c r="Q234" s="412"/>
      <c r="R234" s="412"/>
      <c r="S234" s="412"/>
      <c r="T234" s="412"/>
      <c r="U234" s="412"/>
      <c r="V234" s="412"/>
      <c r="W234" s="412"/>
      <c r="X234" s="412"/>
      <c r="AG234" s="57"/>
    </row>
    <row r="235" spans="6:33" s="46" customFormat="1" x14ac:dyDescent="0.2">
      <c r="F235" s="980"/>
      <c r="I235" s="988"/>
      <c r="M235" s="412"/>
      <c r="N235" s="412"/>
      <c r="O235" s="412"/>
      <c r="P235" s="412"/>
      <c r="Q235" s="412"/>
      <c r="R235" s="412"/>
      <c r="S235" s="412"/>
      <c r="T235" s="412"/>
      <c r="U235" s="412"/>
      <c r="V235" s="412"/>
      <c r="W235" s="412"/>
      <c r="X235" s="412"/>
      <c r="AG235" s="57"/>
    </row>
    <row r="236" spans="6:33" s="46" customFormat="1" x14ac:dyDescent="0.2">
      <c r="F236" s="980"/>
      <c r="I236" s="988"/>
      <c r="M236" s="412"/>
      <c r="N236" s="412"/>
      <c r="O236" s="412"/>
      <c r="P236" s="412"/>
      <c r="Q236" s="412"/>
      <c r="R236" s="412"/>
      <c r="S236" s="412"/>
      <c r="T236" s="412"/>
      <c r="U236" s="412"/>
      <c r="V236" s="412"/>
      <c r="W236" s="412"/>
      <c r="X236" s="412"/>
      <c r="AG236" s="57"/>
    </row>
    <row r="237" spans="6:33" s="46" customFormat="1" x14ac:dyDescent="0.2">
      <c r="F237" s="980"/>
      <c r="I237" s="988"/>
      <c r="M237" s="412"/>
      <c r="N237" s="412"/>
      <c r="O237" s="412"/>
      <c r="P237" s="412"/>
      <c r="Q237" s="412"/>
      <c r="R237" s="412"/>
      <c r="S237" s="412"/>
      <c r="T237" s="412"/>
      <c r="U237" s="412"/>
      <c r="V237" s="412"/>
      <c r="W237" s="412"/>
      <c r="X237" s="412"/>
      <c r="AG237" s="57"/>
    </row>
    <row r="238" spans="6:33" s="46" customFormat="1" x14ac:dyDescent="0.2">
      <c r="F238" s="980"/>
      <c r="I238" s="988"/>
      <c r="M238" s="412"/>
      <c r="N238" s="412"/>
      <c r="O238" s="412"/>
      <c r="P238" s="412"/>
      <c r="Q238" s="412"/>
      <c r="R238" s="412"/>
      <c r="S238" s="412"/>
      <c r="T238" s="412"/>
      <c r="U238" s="412"/>
      <c r="V238" s="412"/>
      <c r="W238" s="412"/>
      <c r="X238" s="412"/>
      <c r="AG238" s="57"/>
    </row>
    <row r="239" spans="6:33" s="46" customFormat="1" x14ac:dyDescent="0.2">
      <c r="F239" s="980"/>
      <c r="I239" s="988"/>
      <c r="M239" s="412"/>
      <c r="N239" s="412"/>
      <c r="O239" s="412"/>
      <c r="P239" s="412"/>
      <c r="Q239" s="412"/>
      <c r="R239" s="412"/>
      <c r="S239" s="412"/>
      <c r="T239" s="412"/>
      <c r="U239" s="412"/>
      <c r="V239" s="412"/>
      <c r="W239" s="412"/>
      <c r="X239" s="412"/>
      <c r="AG239" s="57"/>
    </row>
    <row r="240" spans="6:33" s="46" customFormat="1" x14ac:dyDescent="0.2">
      <c r="F240" s="980"/>
      <c r="I240" s="988"/>
      <c r="M240" s="412"/>
      <c r="N240" s="412"/>
      <c r="O240" s="412"/>
      <c r="P240" s="412"/>
      <c r="Q240" s="412"/>
      <c r="R240" s="412"/>
      <c r="S240" s="412"/>
      <c r="T240" s="412"/>
      <c r="U240" s="412"/>
      <c r="V240" s="412"/>
      <c r="W240" s="412"/>
      <c r="X240" s="412"/>
      <c r="AG240" s="57"/>
    </row>
    <row r="241" spans="6:33" s="46" customFormat="1" x14ac:dyDescent="0.2">
      <c r="F241" s="980"/>
      <c r="I241" s="988"/>
      <c r="M241" s="412"/>
      <c r="N241" s="412"/>
      <c r="O241" s="412"/>
      <c r="P241" s="412"/>
      <c r="Q241" s="412"/>
      <c r="R241" s="412"/>
      <c r="S241" s="412"/>
      <c r="T241" s="412"/>
      <c r="U241" s="412"/>
      <c r="V241" s="412"/>
      <c r="W241" s="412"/>
      <c r="X241" s="412"/>
      <c r="AG241" s="57"/>
    </row>
    <row r="242" spans="6:33" s="46" customFormat="1" x14ac:dyDescent="0.2">
      <c r="F242" s="980"/>
      <c r="I242" s="988"/>
      <c r="M242" s="412"/>
      <c r="N242" s="412"/>
      <c r="O242" s="412"/>
      <c r="P242" s="412"/>
      <c r="Q242" s="412"/>
      <c r="R242" s="412"/>
      <c r="S242" s="412"/>
      <c r="T242" s="412"/>
      <c r="U242" s="412"/>
      <c r="V242" s="412"/>
      <c r="W242" s="412"/>
      <c r="X242" s="412"/>
      <c r="AG242" s="57"/>
    </row>
    <row r="243" spans="6:33" s="46" customFormat="1" x14ac:dyDescent="0.2">
      <c r="F243" s="980"/>
      <c r="I243" s="988"/>
      <c r="M243" s="412"/>
      <c r="N243" s="412"/>
      <c r="O243" s="412"/>
      <c r="P243" s="412"/>
      <c r="Q243" s="412"/>
      <c r="R243" s="412"/>
      <c r="S243" s="412"/>
      <c r="T243" s="412"/>
      <c r="U243" s="412"/>
      <c r="V243" s="412"/>
      <c r="W243" s="412"/>
      <c r="X243" s="412"/>
      <c r="AG243" s="57"/>
    </row>
    <row r="244" spans="6:33" s="46" customFormat="1" x14ac:dyDescent="0.2">
      <c r="F244" s="980"/>
      <c r="I244" s="988"/>
      <c r="M244" s="412"/>
      <c r="N244" s="412"/>
      <c r="O244" s="412"/>
      <c r="P244" s="412"/>
      <c r="Q244" s="412"/>
      <c r="R244" s="412"/>
      <c r="S244" s="412"/>
      <c r="T244" s="412"/>
      <c r="U244" s="412"/>
      <c r="V244" s="412"/>
      <c r="W244" s="412"/>
      <c r="X244" s="412"/>
      <c r="AG244" s="57"/>
    </row>
    <row r="245" spans="6:33" s="46" customFormat="1" x14ac:dyDescent="0.2">
      <c r="F245" s="980"/>
      <c r="I245" s="988"/>
      <c r="M245" s="412"/>
      <c r="N245" s="412"/>
      <c r="O245" s="412"/>
      <c r="P245" s="412"/>
      <c r="Q245" s="412"/>
      <c r="R245" s="412"/>
      <c r="S245" s="412"/>
      <c r="T245" s="412"/>
      <c r="U245" s="412"/>
      <c r="V245" s="412"/>
      <c r="W245" s="412"/>
      <c r="X245" s="412"/>
      <c r="AG245" s="57"/>
    </row>
    <row r="246" spans="6:33" s="46" customFormat="1" x14ac:dyDescent="0.2">
      <c r="F246" s="980"/>
      <c r="I246" s="988"/>
      <c r="M246" s="412"/>
      <c r="N246" s="412"/>
      <c r="O246" s="412"/>
      <c r="P246" s="412"/>
      <c r="Q246" s="412"/>
      <c r="R246" s="412"/>
      <c r="S246" s="412"/>
      <c r="T246" s="412"/>
      <c r="U246" s="412"/>
      <c r="V246" s="412"/>
      <c r="W246" s="412"/>
      <c r="X246" s="412"/>
      <c r="AG246" s="57"/>
    </row>
    <row r="247" spans="6:33" s="46" customFormat="1" x14ac:dyDescent="0.2">
      <c r="F247" s="980"/>
      <c r="I247" s="988"/>
      <c r="M247" s="412"/>
      <c r="N247" s="412"/>
      <c r="O247" s="412"/>
      <c r="P247" s="412"/>
      <c r="Q247" s="412"/>
      <c r="R247" s="412"/>
      <c r="S247" s="412"/>
      <c r="T247" s="412"/>
      <c r="U247" s="412"/>
      <c r="V247" s="412"/>
      <c r="W247" s="412"/>
      <c r="X247" s="412"/>
      <c r="AG247" s="57"/>
    </row>
    <row r="248" spans="6:33" s="46" customFormat="1" x14ac:dyDescent="0.2">
      <c r="F248" s="980"/>
      <c r="I248" s="988"/>
      <c r="M248" s="412"/>
      <c r="N248" s="412"/>
      <c r="O248" s="412"/>
      <c r="P248" s="412"/>
      <c r="Q248" s="412"/>
      <c r="R248" s="412"/>
      <c r="S248" s="412"/>
      <c r="T248" s="412"/>
      <c r="U248" s="412"/>
      <c r="V248" s="412"/>
      <c r="W248" s="412"/>
      <c r="X248" s="412"/>
      <c r="AG248" s="57"/>
    </row>
    <row r="249" spans="6:33" s="46" customFormat="1" x14ac:dyDescent="0.2">
      <c r="F249" s="980"/>
      <c r="I249" s="988"/>
      <c r="M249" s="412"/>
      <c r="N249" s="412"/>
      <c r="O249" s="412"/>
      <c r="P249" s="412"/>
      <c r="Q249" s="412"/>
      <c r="R249" s="412"/>
      <c r="S249" s="412"/>
      <c r="T249" s="412"/>
      <c r="U249" s="412"/>
      <c r="V249" s="412"/>
      <c r="W249" s="412"/>
      <c r="X249" s="412"/>
      <c r="AG249" s="57"/>
    </row>
    <row r="250" spans="6:33" s="46" customFormat="1" x14ac:dyDescent="0.2">
      <c r="F250" s="980"/>
      <c r="I250" s="988"/>
      <c r="M250" s="412"/>
      <c r="N250" s="412"/>
      <c r="O250" s="412"/>
      <c r="P250" s="412"/>
      <c r="Q250" s="412"/>
      <c r="R250" s="412"/>
      <c r="S250" s="412"/>
      <c r="T250" s="412"/>
      <c r="U250" s="412"/>
      <c r="V250" s="412"/>
      <c r="W250" s="412"/>
      <c r="X250" s="412"/>
      <c r="AG250" s="57"/>
    </row>
    <row r="251" spans="6:33" s="46" customFormat="1" x14ac:dyDescent="0.2">
      <c r="F251" s="980"/>
      <c r="I251" s="988"/>
      <c r="M251" s="412"/>
      <c r="N251" s="412"/>
      <c r="O251" s="412"/>
      <c r="P251" s="412"/>
      <c r="Q251" s="412"/>
      <c r="R251" s="412"/>
      <c r="S251" s="412"/>
      <c r="T251" s="412"/>
      <c r="U251" s="412"/>
      <c r="V251" s="412"/>
      <c r="W251" s="412"/>
      <c r="X251" s="412"/>
      <c r="AG251" s="57"/>
    </row>
    <row r="252" spans="6:33" s="46" customFormat="1" x14ac:dyDescent="0.2">
      <c r="F252" s="980"/>
      <c r="I252" s="988"/>
      <c r="M252" s="412"/>
      <c r="N252" s="412"/>
      <c r="O252" s="412"/>
      <c r="P252" s="412"/>
      <c r="Q252" s="412"/>
      <c r="R252" s="412"/>
      <c r="S252" s="412"/>
      <c r="T252" s="412"/>
      <c r="U252" s="412"/>
      <c r="V252" s="412"/>
      <c r="W252" s="412"/>
      <c r="X252" s="412"/>
      <c r="AG252" s="57"/>
    </row>
    <row r="253" spans="6:33" s="46" customFormat="1" x14ac:dyDescent="0.2">
      <c r="F253" s="980"/>
      <c r="I253" s="988"/>
      <c r="M253" s="412"/>
      <c r="N253" s="412"/>
      <c r="O253" s="412"/>
      <c r="P253" s="412"/>
      <c r="Q253" s="412"/>
      <c r="R253" s="412"/>
      <c r="S253" s="412"/>
      <c r="T253" s="412"/>
      <c r="U253" s="412"/>
      <c r="V253" s="412"/>
      <c r="W253" s="412"/>
      <c r="X253" s="412"/>
      <c r="AG253" s="57"/>
    </row>
    <row r="254" spans="6:33" s="46" customFormat="1" x14ac:dyDescent="0.2">
      <c r="F254" s="980"/>
      <c r="I254" s="988"/>
      <c r="M254" s="412"/>
      <c r="N254" s="412"/>
      <c r="O254" s="412"/>
      <c r="P254" s="412"/>
      <c r="Q254" s="412"/>
      <c r="R254" s="412"/>
      <c r="S254" s="412"/>
      <c r="T254" s="412"/>
      <c r="U254" s="412"/>
      <c r="V254" s="412"/>
      <c r="W254" s="412"/>
      <c r="X254" s="412"/>
      <c r="AG254" s="57"/>
    </row>
    <row r="255" spans="6:33" s="46" customFormat="1" x14ac:dyDescent="0.2">
      <c r="F255" s="980"/>
      <c r="I255" s="988"/>
      <c r="M255" s="412"/>
      <c r="N255" s="412"/>
      <c r="O255" s="412"/>
      <c r="P255" s="412"/>
      <c r="Q255" s="412"/>
      <c r="R255" s="412"/>
      <c r="S255" s="412"/>
      <c r="T255" s="412"/>
      <c r="U255" s="412"/>
      <c r="V255" s="412"/>
      <c r="W255" s="412"/>
      <c r="X255" s="412"/>
      <c r="AG255" s="57"/>
    </row>
    <row r="256" spans="6:33" s="46" customFormat="1" x14ac:dyDescent="0.2">
      <c r="F256" s="980"/>
      <c r="I256" s="988"/>
      <c r="M256" s="412"/>
      <c r="N256" s="412"/>
      <c r="O256" s="412"/>
      <c r="P256" s="412"/>
      <c r="Q256" s="412"/>
      <c r="R256" s="412"/>
      <c r="S256" s="412"/>
      <c r="T256" s="412"/>
      <c r="U256" s="412"/>
      <c r="V256" s="412"/>
      <c r="W256" s="412"/>
      <c r="X256" s="412"/>
      <c r="AG256" s="57"/>
    </row>
    <row r="257" spans="6:33" s="46" customFormat="1" x14ac:dyDescent="0.2">
      <c r="F257" s="980"/>
      <c r="I257" s="988"/>
      <c r="M257" s="412"/>
      <c r="N257" s="412"/>
      <c r="O257" s="412"/>
      <c r="P257" s="412"/>
      <c r="Q257" s="412"/>
      <c r="R257" s="412"/>
      <c r="S257" s="412"/>
      <c r="T257" s="412"/>
      <c r="U257" s="412"/>
      <c r="V257" s="412"/>
      <c r="W257" s="412"/>
      <c r="X257" s="412"/>
      <c r="AG257" s="57"/>
    </row>
    <row r="258" spans="6:33" s="46" customFormat="1" x14ac:dyDescent="0.2">
      <c r="F258" s="980"/>
      <c r="I258" s="988"/>
      <c r="M258" s="412"/>
      <c r="N258" s="412"/>
      <c r="O258" s="412"/>
      <c r="P258" s="412"/>
      <c r="Q258" s="412"/>
      <c r="R258" s="412"/>
      <c r="S258" s="412"/>
      <c r="T258" s="412"/>
      <c r="U258" s="412"/>
      <c r="V258" s="412"/>
      <c r="W258" s="412"/>
      <c r="X258" s="412"/>
      <c r="AG258" s="57"/>
    </row>
    <row r="259" spans="6:33" s="46" customFormat="1" x14ac:dyDescent="0.2">
      <c r="F259" s="980"/>
      <c r="I259" s="988"/>
      <c r="M259" s="412"/>
      <c r="N259" s="412"/>
      <c r="O259" s="412"/>
      <c r="P259" s="412"/>
      <c r="Q259" s="412"/>
      <c r="R259" s="412"/>
      <c r="S259" s="412"/>
      <c r="T259" s="412"/>
      <c r="U259" s="412"/>
      <c r="V259" s="412"/>
      <c r="W259" s="412"/>
      <c r="X259" s="412"/>
      <c r="AG259" s="57"/>
    </row>
    <row r="260" spans="6:33" s="46" customFormat="1" x14ac:dyDescent="0.2">
      <c r="F260" s="980"/>
      <c r="I260" s="988"/>
      <c r="M260" s="412"/>
      <c r="N260" s="412"/>
      <c r="O260" s="412"/>
      <c r="P260" s="412"/>
      <c r="Q260" s="412"/>
      <c r="R260" s="412"/>
      <c r="S260" s="412"/>
      <c r="T260" s="412"/>
      <c r="U260" s="412"/>
      <c r="V260" s="412"/>
      <c r="W260" s="412"/>
      <c r="X260" s="412"/>
      <c r="AG260" s="57"/>
    </row>
    <row r="261" spans="6:33" s="46" customFormat="1" x14ac:dyDescent="0.2">
      <c r="F261" s="980"/>
      <c r="I261" s="988"/>
      <c r="M261" s="412"/>
      <c r="N261" s="412"/>
      <c r="O261" s="412"/>
      <c r="P261" s="412"/>
      <c r="Q261" s="412"/>
      <c r="R261" s="412"/>
      <c r="S261" s="412"/>
      <c r="T261" s="412"/>
      <c r="U261" s="412"/>
      <c r="V261" s="412"/>
      <c r="W261" s="412"/>
      <c r="X261" s="412"/>
      <c r="AG261" s="57"/>
    </row>
    <row r="262" spans="6:33" s="46" customFormat="1" x14ac:dyDescent="0.2">
      <c r="F262" s="980"/>
      <c r="I262" s="988"/>
      <c r="M262" s="412"/>
      <c r="N262" s="412"/>
      <c r="O262" s="412"/>
      <c r="P262" s="412"/>
      <c r="Q262" s="412"/>
      <c r="R262" s="412"/>
      <c r="S262" s="412"/>
      <c r="T262" s="412"/>
      <c r="U262" s="412"/>
      <c r="V262" s="412"/>
      <c r="W262" s="412"/>
      <c r="X262" s="412"/>
      <c r="AG262" s="57"/>
    </row>
    <row r="263" spans="6:33" s="46" customFormat="1" x14ac:dyDescent="0.2">
      <c r="F263" s="980"/>
      <c r="I263" s="988"/>
      <c r="M263" s="412"/>
      <c r="N263" s="412"/>
      <c r="O263" s="412"/>
      <c r="P263" s="412"/>
      <c r="Q263" s="412"/>
      <c r="R263" s="412"/>
      <c r="S263" s="412"/>
      <c r="T263" s="412"/>
      <c r="U263" s="412"/>
      <c r="V263" s="412"/>
      <c r="W263" s="412"/>
      <c r="X263" s="412"/>
      <c r="AG263" s="57"/>
    </row>
    <row r="264" spans="6:33" s="46" customFormat="1" x14ac:dyDescent="0.2">
      <c r="F264" s="980"/>
      <c r="I264" s="988"/>
      <c r="M264" s="412"/>
      <c r="N264" s="412"/>
      <c r="O264" s="412"/>
      <c r="P264" s="412"/>
      <c r="Q264" s="412"/>
      <c r="R264" s="412"/>
      <c r="S264" s="412"/>
      <c r="T264" s="412"/>
      <c r="U264" s="412"/>
      <c r="V264" s="412"/>
      <c r="W264" s="412"/>
      <c r="X264" s="412"/>
      <c r="AG264" s="57"/>
    </row>
    <row r="265" spans="6:33" s="46" customFormat="1" x14ac:dyDescent="0.2">
      <c r="F265" s="980"/>
      <c r="I265" s="988"/>
      <c r="M265" s="412"/>
      <c r="N265" s="412"/>
      <c r="O265" s="412"/>
      <c r="P265" s="412"/>
      <c r="Q265" s="412"/>
      <c r="R265" s="412"/>
      <c r="S265" s="412"/>
      <c r="T265" s="412"/>
      <c r="U265" s="412"/>
      <c r="V265" s="412"/>
      <c r="W265" s="412"/>
      <c r="X265" s="412"/>
      <c r="AG265" s="57"/>
    </row>
    <row r="266" spans="6:33" s="46" customFormat="1" x14ac:dyDescent="0.2">
      <c r="F266" s="980"/>
      <c r="I266" s="988"/>
      <c r="M266" s="412"/>
      <c r="N266" s="412"/>
      <c r="O266" s="412"/>
      <c r="P266" s="412"/>
      <c r="Q266" s="412"/>
      <c r="R266" s="412"/>
      <c r="S266" s="412"/>
      <c r="T266" s="412"/>
      <c r="U266" s="412"/>
      <c r="V266" s="412"/>
      <c r="W266" s="412"/>
      <c r="X266" s="412"/>
      <c r="AG266" s="57"/>
    </row>
    <row r="267" spans="6:33" s="46" customFormat="1" x14ac:dyDescent="0.2">
      <c r="F267" s="980"/>
      <c r="I267" s="988"/>
      <c r="M267" s="412"/>
      <c r="N267" s="412"/>
      <c r="O267" s="412"/>
      <c r="P267" s="412"/>
      <c r="Q267" s="412"/>
      <c r="R267" s="412"/>
      <c r="S267" s="412"/>
      <c r="T267" s="412"/>
      <c r="U267" s="412"/>
      <c r="V267" s="412"/>
      <c r="W267" s="412"/>
      <c r="X267" s="412"/>
      <c r="AG267" s="57"/>
    </row>
    <row r="268" spans="6:33" s="46" customFormat="1" x14ac:dyDescent="0.2">
      <c r="F268" s="980"/>
      <c r="I268" s="988"/>
      <c r="M268" s="412"/>
      <c r="N268" s="412"/>
      <c r="O268" s="412"/>
      <c r="P268" s="412"/>
      <c r="Q268" s="412"/>
      <c r="R268" s="412"/>
      <c r="S268" s="412"/>
      <c r="T268" s="412"/>
      <c r="U268" s="412"/>
      <c r="V268" s="412"/>
      <c r="W268" s="412"/>
      <c r="X268" s="412"/>
      <c r="AG268" s="57"/>
    </row>
    <row r="269" spans="6:33" s="46" customFormat="1" x14ac:dyDescent="0.2">
      <c r="F269" s="980"/>
      <c r="I269" s="988"/>
      <c r="M269" s="412"/>
      <c r="N269" s="412"/>
      <c r="O269" s="412"/>
      <c r="P269" s="412"/>
      <c r="Q269" s="412"/>
      <c r="R269" s="412"/>
      <c r="S269" s="412"/>
      <c r="T269" s="412"/>
      <c r="U269" s="412"/>
      <c r="V269" s="412"/>
      <c r="W269" s="412"/>
      <c r="X269" s="412"/>
      <c r="AG269" s="57"/>
    </row>
    <row r="270" spans="6:33" s="46" customFormat="1" x14ac:dyDescent="0.2">
      <c r="F270" s="980"/>
      <c r="I270" s="988"/>
      <c r="M270" s="412"/>
      <c r="N270" s="412"/>
      <c r="O270" s="412"/>
      <c r="P270" s="412"/>
      <c r="Q270" s="412"/>
      <c r="R270" s="412"/>
      <c r="S270" s="412"/>
      <c r="T270" s="412"/>
      <c r="U270" s="412"/>
      <c r="V270" s="412"/>
      <c r="W270" s="412"/>
      <c r="X270" s="412"/>
      <c r="AG270" s="57"/>
    </row>
    <row r="271" spans="6:33" s="46" customFormat="1" x14ac:dyDescent="0.2">
      <c r="F271" s="980"/>
      <c r="I271" s="988"/>
      <c r="M271" s="412"/>
      <c r="N271" s="412"/>
      <c r="O271" s="412"/>
      <c r="P271" s="412"/>
      <c r="Q271" s="412"/>
      <c r="R271" s="412"/>
      <c r="S271" s="412"/>
      <c r="T271" s="412"/>
      <c r="U271" s="412"/>
      <c r="V271" s="412"/>
      <c r="W271" s="412"/>
      <c r="X271" s="412"/>
      <c r="AG271" s="57"/>
    </row>
    <row r="272" spans="6:33" s="46" customFormat="1" x14ac:dyDescent="0.2">
      <c r="F272" s="980"/>
      <c r="I272" s="988"/>
      <c r="M272" s="412"/>
      <c r="N272" s="412"/>
      <c r="O272" s="412"/>
      <c r="P272" s="412"/>
      <c r="Q272" s="412"/>
      <c r="R272" s="412"/>
      <c r="S272" s="412"/>
      <c r="T272" s="412"/>
      <c r="U272" s="412"/>
      <c r="V272" s="412"/>
      <c r="W272" s="412"/>
      <c r="X272" s="412"/>
      <c r="AG272" s="57"/>
    </row>
    <row r="273" spans="6:33" s="46" customFormat="1" x14ac:dyDescent="0.2">
      <c r="F273" s="980"/>
      <c r="I273" s="988"/>
      <c r="M273" s="412"/>
      <c r="N273" s="412"/>
      <c r="O273" s="412"/>
      <c r="P273" s="412"/>
      <c r="Q273" s="412"/>
      <c r="R273" s="412"/>
      <c r="S273" s="412"/>
      <c r="T273" s="412"/>
      <c r="U273" s="412"/>
      <c r="V273" s="412"/>
      <c r="W273" s="412"/>
      <c r="X273" s="412"/>
      <c r="AG273" s="57"/>
    </row>
    <row r="274" spans="6:33" s="46" customFormat="1" x14ac:dyDescent="0.2">
      <c r="F274" s="980"/>
      <c r="I274" s="988"/>
      <c r="M274" s="412"/>
      <c r="N274" s="412"/>
      <c r="O274" s="412"/>
      <c r="P274" s="412"/>
      <c r="Q274" s="412"/>
      <c r="R274" s="412"/>
      <c r="S274" s="412"/>
      <c r="T274" s="412"/>
      <c r="U274" s="412"/>
      <c r="V274" s="412"/>
      <c r="W274" s="412"/>
      <c r="X274" s="412"/>
      <c r="AG274" s="57"/>
    </row>
    <row r="275" spans="6:33" s="46" customFormat="1" x14ac:dyDescent="0.2">
      <c r="F275" s="980"/>
      <c r="I275" s="988"/>
      <c r="M275" s="412"/>
      <c r="N275" s="412"/>
      <c r="O275" s="412"/>
      <c r="P275" s="412"/>
      <c r="Q275" s="412"/>
      <c r="R275" s="412"/>
      <c r="S275" s="412"/>
      <c r="T275" s="412"/>
      <c r="U275" s="412"/>
      <c r="V275" s="412"/>
      <c r="W275" s="412"/>
      <c r="X275" s="412"/>
      <c r="AG275" s="57"/>
    </row>
    <row r="276" spans="6:33" s="46" customFormat="1" x14ac:dyDescent="0.2">
      <c r="F276" s="980"/>
      <c r="I276" s="988"/>
      <c r="M276" s="412"/>
      <c r="N276" s="412"/>
      <c r="O276" s="412"/>
      <c r="P276" s="412"/>
      <c r="Q276" s="412"/>
      <c r="R276" s="412"/>
      <c r="S276" s="412"/>
      <c r="T276" s="412"/>
      <c r="U276" s="412"/>
      <c r="V276" s="412"/>
      <c r="W276" s="412"/>
      <c r="X276" s="412"/>
      <c r="AG276" s="57"/>
    </row>
    <row r="277" spans="6:33" s="46" customFormat="1" x14ac:dyDescent="0.2">
      <c r="F277" s="980"/>
      <c r="I277" s="988"/>
      <c r="M277" s="412"/>
      <c r="N277" s="412"/>
      <c r="O277" s="412"/>
      <c r="P277" s="412"/>
      <c r="Q277" s="412"/>
      <c r="R277" s="412"/>
      <c r="S277" s="412"/>
      <c r="T277" s="412"/>
      <c r="U277" s="412"/>
      <c r="V277" s="412"/>
      <c r="W277" s="412"/>
      <c r="X277" s="412"/>
      <c r="AG277" s="57"/>
    </row>
    <row r="278" spans="6:33" s="46" customFormat="1" x14ac:dyDescent="0.2">
      <c r="F278" s="980"/>
      <c r="I278" s="988"/>
      <c r="M278" s="412"/>
      <c r="N278" s="412"/>
      <c r="O278" s="412"/>
      <c r="P278" s="412"/>
      <c r="Q278" s="412"/>
      <c r="R278" s="412"/>
      <c r="S278" s="412"/>
      <c r="T278" s="412"/>
      <c r="U278" s="412"/>
      <c r="V278" s="412"/>
      <c r="W278" s="412"/>
      <c r="X278" s="412"/>
      <c r="AG278" s="57"/>
    </row>
    <row r="279" spans="6:33" s="46" customFormat="1" x14ac:dyDescent="0.2">
      <c r="F279" s="980"/>
      <c r="I279" s="988"/>
      <c r="M279" s="412"/>
      <c r="N279" s="412"/>
      <c r="O279" s="412"/>
      <c r="P279" s="412"/>
      <c r="Q279" s="412"/>
      <c r="R279" s="412"/>
      <c r="S279" s="412"/>
      <c r="T279" s="412"/>
      <c r="U279" s="412"/>
      <c r="V279" s="412"/>
      <c r="W279" s="412"/>
      <c r="X279" s="412"/>
      <c r="AG279" s="57"/>
    </row>
    <row r="280" spans="6:33" s="46" customFormat="1" x14ac:dyDescent="0.2">
      <c r="F280" s="980"/>
      <c r="I280" s="988"/>
      <c r="M280" s="412"/>
      <c r="N280" s="412"/>
      <c r="O280" s="412"/>
      <c r="P280" s="412"/>
      <c r="Q280" s="412"/>
      <c r="R280" s="412"/>
      <c r="S280" s="412"/>
      <c r="T280" s="412"/>
      <c r="U280" s="412"/>
      <c r="V280" s="412"/>
      <c r="W280" s="412"/>
      <c r="X280" s="412"/>
      <c r="AG280" s="57"/>
    </row>
    <row r="281" spans="6:33" s="46" customFormat="1" x14ac:dyDescent="0.2">
      <c r="F281" s="980"/>
      <c r="I281" s="988"/>
      <c r="M281" s="412"/>
      <c r="N281" s="412"/>
      <c r="O281" s="412"/>
      <c r="P281" s="412"/>
      <c r="Q281" s="412"/>
      <c r="R281" s="412"/>
      <c r="S281" s="412"/>
      <c r="T281" s="412"/>
      <c r="U281" s="412"/>
      <c r="V281" s="412"/>
      <c r="W281" s="412"/>
      <c r="X281" s="412"/>
      <c r="AG281" s="57"/>
    </row>
    <row r="282" spans="6:33" s="46" customFormat="1" x14ac:dyDescent="0.2">
      <c r="F282" s="980"/>
      <c r="I282" s="988"/>
      <c r="M282" s="412"/>
      <c r="N282" s="412"/>
      <c r="O282" s="412"/>
      <c r="P282" s="412"/>
      <c r="Q282" s="412"/>
      <c r="R282" s="412"/>
      <c r="S282" s="412"/>
      <c r="T282" s="412"/>
      <c r="U282" s="412"/>
      <c r="V282" s="412"/>
      <c r="W282" s="412"/>
      <c r="X282" s="412"/>
      <c r="AG282" s="57"/>
    </row>
    <row r="283" spans="6:33" s="46" customFormat="1" x14ac:dyDescent="0.2">
      <c r="F283" s="980"/>
      <c r="I283" s="988"/>
      <c r="M283" s="412"/>
      <c r="N283" s="412"/>
      <c r="O283" s="412"/>
      <c r="P283" s="412"/>
      <c r="Q283" s="412"/>
      <c r="R283" s="412"/>
      <c r="S283" s="412"/>
      <c r="T283" s="412"/>
      <c r="U283" s="412"/>
      <c r="V283" s="412"/>
      <c r="W283" s="412"/>
      <c r="X283" s="412"/>
      <c r="AG283" s="57"/>
    </row>
    <row r="284" spans="6:33" s="46" customFormat="1" x14ac:dyDescent="0.2">
      <c r="F284" s="980"/>
      <c r="I284" s="988"/>
      <c r="M284" s="412"/>
      <c r="N284" s="412"/>
      <c r="O284" s="412"/>
      <c r="P284" s="412"/>
      <c r="Q284" s="412"/>
      <c r="R284" s="412"/>
      <c r="S284" s="412"/>
      <c r="T284" s="412"/>
      <c r="U284" s="412"/>
      <c r="V284" s="412"/>
      <c r="W284" s="412"/>
      <c r="X284" s="412"/>
      <c r="AG284" s="57"/>
    </row>
    <row r="285" spans="6:33" s="46" customFormat="1" x14ac:dyDescent="0.2">
      <c r="F285" s="980"/>
      <c r="I285" s="988"/>
      <c r="M285" s="412"/>
      <c r="N285" s="412"/>
      <c r="O285" s="412"/>
      <c r="P285" s="412"/>
      <c r="Q285" s="412"/>
      <c r="R285" s="412"/>
      <c r="S285" s="412"/>
      <c r="T285" s="412"/>
      <c r="U285" s="412"/>
      <c r="V285" s="412"/>
      <c r="W285" s="412"/>
      <c r="X285" s="412"/>
      <c r="AG285" s="57"/>
    </row>
    <row r="286" spans="6:33" s="46" customFormat="1" x14ac:dyDescent="0.2">
      <c r="F286" s="980"/>
      <c r="I286" s="988"/>
      <c r="M286" s="412"/>
      <c r="N286" s="412"/>
      <c r="O286" s="412"/>
      <c r="P286" s="412"/>
      <c r="Q286" s="412"/>
      <c r="R286" s="412"/>
      <c r="S286" s="412"/>
      <c r="T286" s="412"/>
      <c r="U286" s="412"/>
      <c r="V286" s="412"/>
      <c r="W286" s="412"/>
      <c r="X286" s="412"/>
      <c r="AG286" s="57"/>
    </row>
    <row r="287" spans="6:33" s="46" customFormat="1" x14ac:dyDescent="0.2">
      <c r="F287" s="980"/>
      <c r="I287" s="988"/>
      <c r="M287" s="412"/>
      <c r="N287" s="412"/>
      <c r="O287" s="412"/>
      <c r="P287" s="412"/>
      <c r="Q287" s="412"/>
      <c r="R287" s="412"/>
      <c r="S287" s="412"/>
      <c r="T287" s="412"/>
      <c r="U287" s="412"/>
      <c r="V287" s="412"/>
      <c r="W287" s="412"/>
      <c r="X287" s="412"/>
      <c r="AG287" s="57"/>
    </row>
    <row r="288" spans="6:33" s="46" customFormat="1" x14ac:dyDescent="0.2">
      <c r="F288" s="980"/>
      <c r="I288" s="988"/>
      <c r="M288" s="412"/>
      <c r="N288" s="412"/>
      <c r="O288" s="412"/>
      <c r="P288" s="412"/>
      <c r="Q288" s="412"/>
      <c r="R288" s="412"/>
      <c r="S288" s="412"/>
      <c r="T288" s="412"/>
      <c r="U288" s="412"/>
      <c r="V288" s="412"/>
      <c r="W288" s="412"/>
      <c r="X288" s="412"/>
      <c r="AG288" s="57"/>
    </row>
    <row r="289" spans="6:33" s="46" customFormat="1" x14ac:dyDescent="0.2">
      <c r="F289" s="980"/>
      <c r="I289" s="988"/>
      <c r="M289" s="412"/>
      <c r="N289" s="412"/>
      <c r="O289" s="412"/>
      <c r="P289" s="412"/>
      <c r="Q289" s="412"/>
      <c r="R289" s="412"/>
      <c r="S289" s="412"/>
      <c r="T289" s="412"/>
      <c r="U289" s="412"/>
      <c r="V289" s="412"/>
      <c r="W289" s="412"/>
      <c r="X289" s="412"/>
      <c r="AG289" s="57"/>
    </row>
    <row r="290" spans="6:33" s="46" customFormat="1" x14ac:dyDescent="0.2">
      <c r="F290" s="980"/>
      <c r="I290" s="988"/>
      <c r="M290" s="412"/>
      <c r="N290" s="412"/>
      <c r="O290" s="412"/>
      <c r="P290" s="412"/>
      <c r="Q290" s="412"/>
      <c r="R290" s="412"/>
      <c r="S290" s="412"/>
      <c r="T290" s="412"/>
      <c r="U290" s="412"/>
      <c r="V290" s="412"/>
      <c r="W290" s="412"/>
      <c r="X290" s="412"/>
      <c r="AG290" s="57"/>
    </row>
    <row r="291" spans="6:33" s="46" customFormat="1" x14ac:dyDescent="0.2">
      <c r="F291" s="980"/>
      <c r="I291" s="988"/>
      <c r="M291" s="412"/>
      <c r="N291" s="412"/>
      <c r="O291" s="412"/>
      <c r="P291" s="412"/>
      <c r="Q291" s="412"/>
      <c r="R291" s="412"/>
      <c r="S291" s="412"/>
      <c r="T291" s="412"/>
      <c r="U291" s="412"/>
      <c r="V291" s="412"/>
      <c r="W291" s="412"/>
      <c r="X291" s="412"/>
      <c r="AG291" s="57"/>
    </row>
    <row r="292" spans="6:33" s="46" customFormat="1" x14ac:dyDescent="0.2">
      <c r="F292" s="980"/>
      <c r="I292" s="988"/>
      <c r="M292" s="412"/>
      <c r="N292" s="412"/>
      <c r="O292" s="412"/>
      <c r="P292" s="412"/>
      <c r="Q292" s="412"/>
      <c r="R292" s="412"/>
      <c r="S292" s="412"/>
      <c r="T292" s="412"/>
      <c r="U292" s="412"/>
      <c r="V292" s="412"/>
      <c r="W292" s="412"/>
      <c r="X292" s="412"/>
      <c r="AG292" s="57"/>
    </row>
    <row r="293" spans="6:33" s="46" customFormat="1" x14ac:dyDescent="0.2">
      <c r="F293" s="980"/>
      <c r="I293" s="988"/>
      <c r="M293" s="412"/>
      <c r="N293" s="412"/>
      <c r="O293" s="412"/>
      <c r="P293" s="412"/>
      <c r="Q293" s="412"/>
      <c r="R293" s="412"/>
      <c r="S293" s="412"/>
      <c r="T293" s="412"/>
      <c r="U293" s="412"/>
      <c r="V293" s="412"/>
      <c r="W293" s="412"/>
      <c r="X293" s="412"/>
      <c r="AG293" s="57"/>
    </row>
    <row r="294" spans="6:33" s="46" customFormat="1" x14ac:dyDescent="0.2">
      <c r="F294" s="980"/>
      <c r="I294" s="988"/>
      <c r="M294" s="412"/>
      <c r="N294" s="412"/>
      <c r="O294" s="412"/>
      <c r="P294" s="412"/>
      <c r="Q294" s="412"/>
      <c r="R294" s="412"/>
      <c r="S294" s="412"/>
      <c r="T294" s="412"/>
      <c r="U294" s="412"/>
      <c r="V294" s="412"/>
      <c r="W294" s="412"/>
      <c r="X294" s="412"/>
      <c r="AG294" s="57"/>
    </row>
    <row r="295" spans="6:33" s="46" customFormat="1" x14ac:dyDescent="0.2">
      <c r="F295" s="980"/>
      <c r="I295" s="988"/>
      <c r="M295" s="412"/>
      <c r="N295" s="412"/>
      <c r="O295" s="412"/>
      <c r="P295" s="412"/>
      <c r="Q295" s="412"/>
      <c r="R295" s="412"/>
      <c r="S295" s="412"/>
      <c r="T295" s="412"/>
      <c r="U295" s="412"/>
      <c r="V295" s="412"/>
      <c r="W295" s="412"/>
      <c r="X295" s="412"/>
      <c r="AG295" s="57"/>
    </row>
    <row r="296" spans="6:33" s="46" customFormat="1" x14ac:dyDescent="0.2">
      <c r="F296" s="980"/>
      <c r="I296" s="988"/>
      <c r="M296" s="412"/>
      <c r="N296" s="412"/>
      <c r="O296" s="412"/>
      <c r="P296" s="412"/>
      <c r="Q296" s="412"/>
      <c r="R296" s="412"/>
      <c r="S296" s="412"/>
      <c r="T296" s="412"/>
      <c r="U296" s="412"/>
      <c r="V296" s="412"/>
      <c r="W296" s="412"/>
      <c r="X296" s="412"/>
      <c r="AG296" s="57"/>
    </row>
    <row r="297" spans="6:33" s="46" customFormat="1" x14ac:dyDescent="0.2">
      <c r="F297" s="980"/>
      <c r="I297" s="988"/>
      <c r="M297" s="412"/>
      <c r="N297" s="412"/>
      <c r="O297" s="412"/>
      <c r="P297" s="412"/>
      <c r="Q297" s="412"/>
      <c r="R297" s="412"/>
      <c r="S297" s="412"/>
      <c r="T297" s="412"/>
      <c r="U297" s="412"/>
      <c r="V297" s="412"/>
      <c r="W297" s="412"/>
      <c r="X297" s="412"/>
      <c r="AG297" s="57"/>
    </row>
    <row r="298" spans="6:33" s="46" customFormat="1" x14ac:dyDescent="0.2">
      <c r="F298" s="980"/>
      <c r="I298" s="988"/>
      <c r="M298" s="412"/>
      <c r="N298" s="412"/>
      <c r="O298" s="412"/>
      <c r="P298" s="412"/>
      <c r="Q298" s="412"/>
      <c r="R298" s="412"/>
      <c r="S298" s="412"/>
      <c r="T298" s="412"/>
      <c r="U298" s="412"/>
      <c r="V298" s="412"/>
      <c r="W298" s="412"/>
      <c r="X298" s="412"/>
      <c r="AG298" s="57"/>
    </row>
    <row r="299" spans="6:33" s="46" customFormat="1" x14ac:dyDescent="0.2">
      <c r="F299" s="980"/>
      <c r="I299" s="988"/>
      <c r="AG299" s="57"/>
    </row>
    <row r="300" spans="6:33" s="46" customFormat="1" x14ac:dyDescent="0.2">
      <c r="F300" s="980"/>
      <c r="I300" s="988"/>
      <c r="AG300" s="57"/>
    </row>
    <row r="301" spans="6:33" s="46" customFormat="1" x14ac:dyDescent="0.2">
      <c r="F301" s="980"/>
      <c r="I301" s="988"/>
      <c r="AG301" s="57"/>
    </row>
    <row r="302" spans="6:33" s="46" customFormat="1" x14ac:dyDescent="0.2">
      <c r="F302" s="980"/>
      <c r="I302" s="988"/>
      <c r="AG302" s="57"/>
    </row>
    <row r="303" spans="6:33" s="46" customFormat="1" x14ac:dyDescent="0.2">
      <c r="F303" s="980"/>
      <c r="I303" s="988"/>
      <c r="AG303" s="57"/>
    </row>
    <row r="304" spans="6:33" s="46" customFormat="1" x14ac:dyDescent="0.2">
      <c r="F304" s="980"/>
      <c r="I304" s="988"/>
      <c r="AG304" s="57"/>
    </row>
    <row r="305" spans="6:33" s="46" customFormat="1" x14ac:dyDescent="0.2">
      <c r="F305" s="980"/>
      <c r="I305" s="988"/>
      <c r="AG305" s="57"/>
    </row>
    <row r="306" spans="6:33" s="46" customFormat="1" x14ac:dyDescent="0.2">
      <c r="F306" s="980"/>
      <c r="I306" s="988"/>
      <c r="AG306" s="57"/>
    </row>
    <row r="307" spans="6:33" s="46" customFormat="1" x14ac:dyDescent="0.2">
      <c r="F307" s="980"/>
      <c r="I307" s="988"/>
      <c r="AG307" s="57"/>
    </row>
    <row r="308" spans="6:33" s="46" customFormat="1" x14ac:dyDescent="0.2">
      <c r="F308" s="980"/>
      <c r="I308" s="988"/>
      <c r="AG308" s="57"/>
    </row>
    <row r="309" spans="6:33" s="46" customFormat="1" x14ac:dyDescent="0.2">
      <c r="F309" s="980"/>
      <c r="I309" s="988"/>
      <c r="AG309" s="57"/>
    </row>
    <row r="310" spans="6:33" s="46" customFormat="1" x14ac:dyDescent="0.2">
      <c r="F310" s="980"/>
      <c r="I310" s="988"/>
      <c r="AG310" s="57"/>
    </row>
    <row r="311" spans="6:33" s="46" customFormat="1" x14ac:dyDescent="0.2">
      <c r="F311" s="980"/>
      <c r="I311" s="988"/>
      <c r="AG311" s="57"/>
    </row>
    <row r="312" spans="6:33" s="46" customFormat="1" x14ac:dyDescent="0.2">
      <c r="F312" s="980"/>
      <c r="I312" s="988"/>
      <c r="AG312" s="57"/>
    </row>
    <row r="313" spans="6:33" s="46" customFormat="1" x14ac:dyDescent="0.2">
      <c r="F313" s="980"/>
      <c r="I313" s="988"/>
      <c r="AG313" s="57"/>
    </row>
    <row r="314" spans="6:33" s="46" customFormat="1" x14ac:dyDescent="0.2">
      <c r="F314" s="980"/>
      <c r="I314" s="988"/>
      <c r="AG314" s="57"/>
    </row>
    <row r="315" spans="6:33" s="46" customFormat="1" x14ac:dyDescent="0.2">
      <c r="F315" s="980"/>
      <c r="I315" s="988"/>
      <c r="AG315" s="57"/>
    </row>
    <row r="316" spans="6:33" s="46" customFormat="1" x14ac:dyDescent="0.2">
      <c r="F316" s="980"/>
      <c r="I316" s="988"/>
      <c r="AG316" s="57"/>
    </row>
    <row r="317" spans="6:33" s="46" customFormat="1" x14ac:dyDescent="0.2">
      <c r="F317" s="980"/>
      <c r="I317" s="988"/>
      <c r="AG317" s="57"/>
    </row>
    <row r="318" spans="6:33" s="46" customFormat="1" x14ac:dyDescent="0.2">
      <c r="F318" s="980"/>
      <c r="I318" s="988"/>
      <c r="AG318" s="57"/>
    </row>
    <row r="319" spans="6:33" s="46" customFormat="1" x14ac:dyDescent="0.2">
      <c r="F319" s="980"/>
      <c r="I319" s="988"/>
      <c r="AG319" s="57"/>
    </row>
    <row r="320" spans="6:33" s="46" customFormat="1" x14ac:dyDescent="0.2">
      <c r="F320" s="980"/>
      <c r="I320" s="988"/>
      <c r="AG320" s="57"/>
    </row>
    <row r="321" spans="6:33" s="46" customFormat="1" x14ac:dyDescent="0.2">
      <c r="F321" s="980"/>
      <c r="I321" s="988"/>
      <c r="AG321" s="57"/>
    </row>
    <row r="322" spans="6:33" s="46" customFormat="1" x14ac:dyDescent="0.2">
      <c r="F322" s="980"/>
      <c r="I322" s="988"/>
      <c r="AG322" s="57"/>
    </row>
    <row r="323" spans="6:33" s="46" customFormat="1" x14ac:dyDescent="0.2">
      <c r="F323" s="980"/>
      <c r="I323" s="988"/>
      <c r="AG323" s="57"/>
    </row>
    <row r="324" spans="6:33" s="46" customFormat="1" x14ac:dyDescent="0.2">
      <c r="F324" s="980"/>
      <c r="I324" s="988"/>
      <c r="AG324" s="57"/>
    </row>
    <row r="325" spans="6:33" s="46" customFormat="1" x14ac:dyDescent="0.2">
      <c r="F325" s="980"/>
      <c r="I325" s="988"/>
      <c r="AG325" s="57"/>
    </row>
    <row r="326" spans="6:33" s="46" customFormat="1" x14ac:dyDescent="0.2">
      <c r="F326" s="980"/>
      <c r="I326" s="988"/>
      <c r="AG326" s="57"/>
    </row>
    <row r="327" spans="6:33" s="46" customFormat="1" x14ac:dyDescent="0.2">
      <c r="F327" s="980"/>
      <c r="I327" s="988"/>
      <c r="AG327" s="57"/>
    </row>
    <row r="328" spans="6:33" s="46" customFormat="1" x14ac:dyDescent="0.2">
      <c r="F328" s="980"/>
      <c r="I328" s="988"/>
      <c r="AG328" s="57"/>
    </row>
    <row r="329" spans="6:33" s="46" customFormat="1" x14ac:dyDescent="0.2">
      <c r="F329" s="980"/>
      <c r="I329" s="988"/>
      <c r="AG329" s="57"/>
    </row>
    <row r="330" spans="6:33" s="46" customFormat="1" x14ac:dyDescent="0.2">
      <c r="F330" s="980"/>
      <c r="I330" s="988"/>
      <c r="AG330" s="57"/>
    </row>
    <row r="331" spans="6:33" s="46" customFormat="1" x14ac:dyDescent="0.2">
      <c r="F331" s="980"/>
      <c r="I331" s="988"/>
      <c r="AG331" s="57"/>
    </row>
    <row r="332" spans="6:33" s="46" customFormat="1" x14ac:dyDescent="0.2">
      <c r="F332" s="980"/>
      <c r="I332" s="988"/>
      <c r="AG332" s="57"/>
    </row>
    <row r="333" spans="6:33" s="46" customFormat="1" x14ac:dyDescent="0.2">
      <c r="F333" s="980"/>
      <c r="I333" s="988"/>
      <c r="AG333" s="57"/>
    </row>
    <row r="334" spans="6:33" s="46" customFormat="1" x14ac:dyDescent="0.2">
      <c r="F334" s="980"/>
      <c r="I334" s="988"/>
      <c r="AG334" s="57"/>
    </row>
    <row r="335" spans="6:33" s="46" customFormat="1" x14ac:dyDescent="0.2">
      <c r="F335" s="980"/>
      <c r="I335" s="988"/>
      <c r="AG335" s="57"/>
    </row>
    <row r="336" spans="6:33" s="46" customFormat="1" x14ac:dyDescent="0.2">
      <c r="F336" s="980"/>
      <c r="I336" s="988"/>
      <c r="AG336" s="57"/>
    </row>
    <row r="337" spans="6:33" s="46" customFormat="1" x14ac:dyDescent="0.2">
      <c r="F337" s="980"/>
      <c r="I337" s="988"/>
      <c r="AG337" s="57"/>
    </row>
    <row r="338" spans="6:33" s="46" customFormat="1" x14ac:dyDescent="0.2">
      <c r="F338" s="980"/>
      <c r="I338" s="988"/>
      <c r="AG338" s="57"/>
    </row>
    <row r="339" spans="6:33" s="46" customFormat="1" x14ac:dyDescent="0.2">
      <c r="F339" s="980"/>
      <c r="I339" s="988"/>
      <c r="AG339" s="57"/>
    </row>
    <row r="340" spans="6:33" s="46" customFormat="1" x14ac:dyDescent="0.2">
      <c r="F340" s="980"/>
      <c r="I340" s="988"/>
      <c r="AG340" s="57"/>
    </row>
    <row r="341" spans="6:33" s="46" customFormat="1" x14ac:dyDescent="0.2">
      <c r="F341" s="980"/>
      <c r="I341" s="988"/>
      <c r="AG341" s="57"/>
    </row>
    <row r="342" spans="6:33" s="46" customFormat="1" x14ac:dyDescent="0.2">
      <c r="F342" s="980"/>
      <c r="I342" s="988"/>
      <c r="AG342" s="57"/>
    </row>
    <row r="343" spans="6:33" s="46" customFormat="1" x14ac:dyDescent="0.2">
      <c r="F343" s="980"/>
      <c r="I343" s="988"/>
      <c r="AG343" s="57"/>
    </row>
    <row r="344" spans="6:33" s="46" customFormat="1" x14ac:dyDescent="0.2">
      <c r="F344" s="980"/>
      <c r="I344" s="988"/>
      <c r="AG344" s="57"/>
    </row>
    <row r="345" spans="6:33" s="46" customFormat="1" x14ac:dyDescent="0.2">
      <c r="F345" s="980"/>
      <c r="I345" s="988"/>
      <c r="AG345" s="57"/>
    </row>
    <row r="346" spans="6:33" s="46" customFormat="1" x14ac:dyDescent="0.2">
      <c r="F346" s="980"/>
      <c r="I346" s="988"/>
      <c r="AG346" s="57"/>
    </row>
    <row r="347" spans="6:33" s="46" customFormat="1" x14ac:dyDescent="0.2">
      <c r="F347" s="980"/>
      <c r="I347" s="988"/>
      <c r="AG347" s="57"/>
    </row>
    <row r="348" spans="6:33" s="46" customFormat="1" x14ac:dyDescent="0.2">
      <c r="F348" s="980"/>
      <c r="I348" s="988"/>
      <c r="AG348" s="57"/>
    </row>
    <row r="349" spans="6:33" s="46" customFormat="1" x14ac:dyDescent="0.2">
      <c r="F349" s="980"/>
      <c r="I349" s="988"/>
      <c r="AG349" s="57"/>
    </row>
    <row r="350" spans="6:33" s="46" customFormat="1" x14ac:dyDescent="0.2">
      <c r="F350" s="980"/>
      <c r="I350" s="988"/>
      <c r="AG350" s="57"/>
    </row>
    <row r="351" spans="6:33" s="46" customFormat="1" x14ac:dyDescent="0.2">
      <c r="F351" s="980"/>
      <c r="I351" s="988"/>
      <c r="AG351" s="57"/>
    </row>
    <row r="352" spans="6:33" s="46" customFormat="1" x14ac:dyDescent="0.2">
      <c r="F352" s="980"/>
      <c r="I352" s="988"/>
      <c r="AG352" s="57"/>
    </row>
    <row r="353" spans="6:33" s="46" customFormat="1" x14ac:dyDescent="0.2">
      <c r="F353" s="980"/>
      <c r="I353" s="988"/>
      <c r="AG353" s="57"/>
    </row>
    <row r="354" spans="6:33" s="46" customFormat="1" x14ac:dyDescent="0.2">
      <c r="F354" s="980"/>
      <c r="I354" s="988"/>
      <c r="AG354" s="57"/>
    </row>
    <row r="355" spans="6:33" s="46" customFormat="1" x14ac:dyDescent="0.2">
      <c r="F355" s="980"/>
      <c r="I355" s="988"/>
      <c r="AG355" s="57"/>
    </row>
    <row r="356" spans="6:33" s="46" customFormat="1" x14ac:dyDescent="0.2">
      <c r="F356" s="980"/>
      <c r="I356" s="988"/>
      <c r="AG356" s="57"/>
    </row>
    <row r="357" spans="6:33" s="46" customFormat="1" x14ac:dyDescent="0.2">
      <c r="F357" s="980"/>
      <c r="I357" s="988"/>
      <c r="AG357" s="57"/>
    </row>
    <row r="358" spans="6:33" s="46" customFormat="1" x14ac:dyDescent="0.2">
      <c r="F358" s="980"/>
      <c r="I358" s="988"/>
      <c r="AG358" s="57"/>
    </row>
    <row r="359" spans="6:33" s="46" customFormat="1" x14ac:dyDescent="0.2">
      <c r="F359" s="980"/>
      <c r="I359" s="988"/>
      <c r="AG359" s="57"/>
    </row>
    <row r="360" spans="6:33" s="46" customFormat="1" x14ac:dyDescent="0.2">
      <c r="F360" s="980"/>
      <c r="I360" s="988"/>
      <c r="AG360" s="57"/>
    </row>
    <row r="361" spans="6:33" s="46" customFormat="1" x14ac:dyDescent="0.2">
      <c r="F361" s="980"/>
      <c r="I361" s="988"/>
      <c r="AG361" s="57"/>
    </row>
    <row r="362" spans="6:33" s="46" customFormat="1" x14ac:dyDescent="0.2">
      <c r="F362" s="980"/>
      <c r="I362" s="988"/>
      <c r="AG362" s="57"/>
    </row>
    <row r="363" spans="6:33" s="46" customFormat="1" x14ac:dyDescent="0.2">
      <c r="F363" s="980"/>
      <c r="I363" s="988"/>
      <c r="AG363" s="57"/>
    </row>
    <row r="364" spans="6:33" s="46" customFormat="1" x14ac:dyDescent="0.2">
      <c r="F364" s="980"/>
      <c r="I364" s="988"/>
      <c r="AG364" s="57"/>
    </row>
    <row r="365" spans="6:33" s="46" customFormat="1" x14ac:dyDescent="0.2">
      <c r="F365" s="980"/>
      <c r="I365" s="988"/>
      <c r="AG365" s="57"/>
    </row>
    <row r="366" spans="6:33" s="46" customFormat="1" x14ac:dyDescent="0.2">
      <c r="F366" s="980"/>
      <c r="I366" s="988"/>
      <c r="AG366" s="57"/>
    </row>
    <row r="367" spans="6:33" s="46" customFormat="1" x14ac:dyDescent="0.2">
      <c r="F367" s="980"/>
      <c r="I367" s="988"/>
      <c r="AG367" s="57"/>
    </row>
    <row r="368" spans="6:33" s="46" customFormat="1" x14ac:dyDescent="0.2">
      <c r="F368" s="980"/>
      <c r="I368" s="988"/>
      <c r="AG368" s="57"/>
    </row>
    <row r="369" spans="6:33" s="46" customFormat="1" x14ac:dyDescent="0.2">
      <c r="F369" s="980"/>
      <c r="I369" s="988"/>
      <c r="AG369" s="57"/>
    </row>
    <row r="370" spans="6:33" s="46" customFormat="1" x14ac:dyDescent="0.2">
      <c r="F370" s="980"/>
      <c r="I370" s="988"/>
      <c r="AG370" s="57"/>
    </row>
    <row r="371" spans="6:33" s="46" customFormat="1" x14ac:dyDescent="0.2">
      <c r="F371" s="980"/>
      <c r="I371" s="988"/>
      <c r="AG371" s="57"/>
    </row>
    <row r="372" spans="6:33" s="46" customFormat="1" x14ac:dyDescent="0.2">
      <c r="F372" s="980"/>
      <c r="I372" s="988"/>
      <c r="AG372" s="57"/>
    </row>
    <row r="373" spans="6:33" s="46" customFormat="1" x14ac:dyDescent="0.2">
      <c r="F373" s="980"/>
      <c r="I373" s="988"/>
      <c r="AG373" s="57"/>
    </row>
    <row r="374" spans="6:33" s="46" customFormat="1" x14ac:dyDescent="0.2">
      <c r="F374" s="980"/>
      <c r="I374" s="988"/>
      <c r="AG374" s="57"/>
    </row>
    <row r="375" spans="6:33" s="46" customFormat="1" x14ac:dyDescent="0.2">
      <c r="F375" s="980"/>
      <c r="I375" s="988"/>
      <c r="AG375" s="57"/>
    </row>
    <row r="376" spans="6:33" s="46" customFormat="1" x14ac:dyDescent="0.2">
      <c r="F376" s="980"/>
      <c r="I376" s="988"/>
      <c r="AG376" s="57"/>
    </row>
    <row r="377" spans="6:33" s="46" customFormat="1" x14ac:dyDescent="0.2">
      <c r="F377" s="980"/>
      <c r="I377" s="988"/>
      <c r="AG377" s="57"/>
    </row>
    <row r="378" spans="6:33" s="46" customFormat="1" x14ac:dyDescent="0.2">
      <c r="F378" s="980"/>
      <c r="I378" s="988"/>
      <c r="AG378" s="57"/>
    </row>
    <row r="379" spans="6:33" s="46" customFormat="1" x14ac:dyDescent="0.2">
      <c r="F379" s="980"/>
      <c r="I379" s="988"/>
      <c r="AG379" s="57"/>
    </row>
    <row r="380" spans="6:33" s="46" customFormat="1" x14ac:dyDescent="0.2">
      <c r="F380" s="980"/>
      <c r="I380" s="988"/>
      <c r="AG380" s="57"/>
    </row>
    <row r="381" spans="6:33" s="46" customFormat="1" x14ac:dyDescent="0.2">
      <c r="F381" s="980"/>
      <c r="I381" s="988"/>
      <c r="AG381" s="57"/>
    </row>
    <row r="382" spans="6:33" s="46" customFormat="1" x14ac:dyDescent="0.2">
      <c r="F382" s="980"/>
      <c r="I382" s="988"/>
      <c r="AG382" s="57"/>
    </row>
    <row r="383" spans="6:33" s="46" customFormat="1" x14ac:dyDescent="0.2">
      <c r="F383" s="980"/>
      <c r="I383" s="988"/>
      <c r="AG383" s="57"/>
    </row>
    <row r="384" spans="6:33" s="46" customFormat="1" x14ac:dyDescent="0.2">
      <c r="F384" s="980"/>
      <c r="I384" s="988"/>
      <c r="AG384" s="57"/>
    </row>
    <row r="385" spans="6:33" s="46" customFormat="1" x14ac:dyDescent="0.2">
      <c r="F385" s="980"/>
      <c r="I385" s="988"/>
      <c r="AG385" s="57"/>
    </row>
    <row r="386" spans="6:33" s="46" customFormat="1" x14ac:dyDescent="0.2">
      <c r="F386" s="980"/>
      <c r="I386" s="988"/>
      <c r="AG386" s="57"/>
    </row>
    <row r="387" spans="6:33" s="46" customFormat="1" x14ac:dyDescent="0.2">
      <c r="F387" s="980"/>
      <c r="I387" s="988"/>
      <c r="AG387" s="57"/>
    </row>
    <row r="388" spans="6:33" s="46" customFormat="1" x14ac:dyDescent="0.2">
      <c r="F388" s="980"/>
      <c r="I388" s="988"/>
      <c r="AG388" s="57"/>
    </row>
    <row r="389" spans="6:33" s="46" customFormat="1" x14ac:dyDescent="0.2">
      <c r="F389" s="980"/>
      <c r="I389" s="988"/>
      <c r="AG389" s="57"/>
    </row>
    <row r="390" spans="6:33" s="46" customFormat="1" x14ac:dyDescent="0.2">
      <c r="F390" s="980"/>
      <c r="I390" s="988"/>
      <c r="AG390" s="57"/>
    </row>
    <row r="391" spans="6:33" s="46" customFormat="1" x14ac:dyDescent="0.2">
      <c r="F391" s="980"/>
      <c r="I391" s="988"/>
      <c r="AG391" s="57"/>
    </row>
    <row r="392" spans="6:33" s="46" customFormat="1" x14ac:dyDescent="0.2">
      <c r="F392" s="980"/>
      <c r="I392" s="988"/>
      <c r="AG392" s="57"/>
    </row>
    <row r="393" spans="6:33" s="46" customFormat="1" x14ac:dyDescent="0.2">
      <c r="F393" s="980"/>
      <c r="I393" s="988"/>
      <c r="AG393" s="57"/>
    </row>
    <row r="394" spans="6:33" s="46" customFormat="1" x14ac:dyDescent="0.2">
      <c r="F394" s="980"/>
      <c r="I394" s="988"/>
      <c r="AG394" s="57"/>
    </row>
    <row r="395" spans="6:33" s="46" customFormat="1" x14ac:dyDescent="0.2">
      <c r="F395" s="980"/>
      <c r="I395" s="988"/>
      <c r="AG395" s="57"/>
    </row>
    <row r="396" spans="6:33" s="46" customFormat="1" x14ac:dyDescent="0.2">
      <c r="F396" s="980"/>
      <c r="I396" s="988"/>
      <c r="AG396" s="57"/>
    </row>
    <row r="397" spans="6:33" s="46" customFormat="1" x14ac:dyDescent="0.2">
      <c r="F397" s="980"/>
      <c r="I397" s="988"/>
      <c r="AG397" s="57"/>
    </row>
    <row r="398" spans="6:33" s="46" customFormat="1" x14ac:dyDescent="0.2">
      <c r="F398" s="980"/>
      <c r="I398" s="988"/>
      <c r="AG398" s="57"/>
    </row>
    <row r="399" spans="6:33" s="46" customFormat="1" x14ac:dyDescent="0.2">
      <c r="F399" s="980"/>
      <c r="I399" s="988"/>
      <c r="AG399" s="57"/>
    </row>
    <row r="400" spans="6:33" s="46" customFormat="1" x14ac:dyDescent="0.2">
      <c r="F400" s="980"/>
      <c r="I400" s="988"/>
      <c r="AG400" s="57"/>
    </row>
    <row r="401" spans="6:33" s="46" customFormat="1" x14ac:dyDescent="0.2">
      <c r="F401" s="980"/>
      <c r="I401" s="988"/>
      <c r="AG401" s="57"/>
    </row>
    <row r="402" spans="6:33" s="46" customFormat="1" x14ac:dyDescent="0.2">
      <c r="F402" s="980"/>
      <c r="I402" s="988"/>
      <c r="AG402" s="57"/>
    </row>
    <row r="403" spans="6:33" s="46" customFormat="1" x14ac:dyDescent="0.2">
      <c r="F403" s="980"/>
      <c r="I403" s="988"/>
      <c r="AG403" s="57"/>
    </row>
    <row r="404" spans="6:33" s="46" customFormat="1" x14ac:dyDescent="0.2">
      <c r="F404" s="980"/>
      <c r="I404" s="988"/>
      <c r="AG404" s="57"/>
    </row>
    <row r="405" spans="6:33" s="46" customFormat="1" x14ac:dyDescent="0.2">
      <c r="F405" s="980"/>
      <c r="I405" s="988"/>
      <c r="AG405" s="57"/>
    </row>
    <row r="406" spans="6:33" s="46" customFormat="1" x14ac:dyDescent="0.2">
      <c r="F406" s="980"/>
      <c r="I406" s="988"/>
      <c r="AG406" s="57"/>
    </row>
    <row r="407" spans="6:33" s="46" customFormat="1" x14ac:dyDescent="0.2">
      <c r="F407" s="980"/>
      <c r="I407" s="988"/>
      <c r="AG407" s="57"/>
    </row>
    <row r="408" spans="6:33" s="46" customFormat="1" x14ac:dyDescent="0.2">
      <c r="F408" s="980"/>
      <c r="I408" s="988"/>
      <c r="AG408" s="57"/>
    </row>
    <row r="409" spans="6:33" s="46" customFormat="1" x14ac:dyDescent="0.2">
      <c r="F409" s="980"/>
      <c r="I409" s="988"/>
      <c r="AG409" s="57"/>
    </row>
    <row r="410" spans="6:33" s="46" customFormat="1" x14ac:dyDescent="0.2">
      <c r="F410" s="980"/>
      <c r="I410" s="988"/>
      <c r="AG410" s="57"/>
    </row>
    <row r="411" spans="6:33" s="46" customFormat="1" x14ac:dyDescent="0.2">
      <c r="F411" s="980"/>
      <c r="I411" s="988"/>
      <c r="AG411" s="57"/>
    </row>
    <row r="412" spans="6:33" s="46" customFormat="1" x14ac:dyDescent="0.2">
      <c r="F412" s="980"/>
      <c r="I412" s="988"/>
      <c r="AG412" s="57"/>
    </row>
    <row r="413" spans="6:33" s="46" customFormat="1" x14ac:dyDescent="0.2">
      <c r="F413" s="980"/>
      <c r="I413" s="988"/>
      <c r="AG413" s="57"/>
    </row>
    <row r="414" spans="6:33" s="46" customFormat="1" x14ac:dyDescent="0.2">
      <c r="F414" s="980"/>
      <c r="I414" s="988"/>
      <c r="AG414" s="57"/>
    </row>
    <row r="415" spans="6:33" s="46" customFormat="1" x14ac:dyDescent="0.2">
      <c r="F415" s="980"/>
      <c r="I415" s="988"/>
      <c r="AG415" s="57"/>
    </row>
    <row r="416" spans="6:33" s="46" customFormat="1" x14ac:dyDescent="0.2">
      <c r="F416" s="980"/>
      <c r="I416" s="988"/>
      <c r="AG416" s="57"/>
    </row>
    <row r="417" spans="6:33" s="46" customFormat="1" x14ac:dyDescent="0.2">
      <c r="F417" s="980"/>
      <c r="I417" s="988"/>
      <c r="AG417" s="57"/>
    </row>
    <row r="418" spans="6:33" s="46" customFormat="1" x14ac:dyDescent="0.2">
      <c r="F418" s="980"/>
      <c r="I418" s="988"/>
      <c r="AG418" s="57"/>
    </row>
    <row r="419" spans="6:33" s="46" customFormat="1" x14ac:dyDescent="0.2">
      <c r="F419" s="980"/>
      <c r="I419" s="988"/>
      <c r="AG419" s="57"/>
    </row>
    <row r="420" spans="6:33" s="46" customFormat="1" x14ac:dyDescent="0.2">
      <c r="F420" s="980"/>
      <c r="I420" s="988"/>
      <c r="AG420" s="57"/>
    </row>
    <row r="421" spans="6:33" s="46" customFormat="1" x14ac:dyDescent="0.2">
      <c r="F421" s="980"/>
      <c r="I421" s="988"/>
      <c r="AG421" s="57"/>
    </row>
    <row r="422" spans="6:33" s="46" customFormat="1" x14ac:dyDescent="0.2">
      <c r="F422" s="980"/>
      <c r="I422" s="988"/>
      <c r="AG422" s="57"/>
    </row>
    <row r="423" spans="6:33" s="46" customFormat="1" x14ac:dyDescent="0.2">
      <c r="F423" s="980"/>
      <c r="I423" s="988"/>
      <c r="AG423" s="57"/>
    </row>
    <row r="424" spans="6:33" s="46" customFormat="1" x14ac:dyDescent="0.2">
      <c r="F424" s="980"/>
      <c r="I424" s="988"/>
      <c r="AG424" s="57"/>
    </row>
    <row r="425" spans="6:33" s="46" customFormat="1" x14ac:dyDescent="0.2">
      <c r="F425" s="980"/>
      <c r="I425" s="988"/>
      <c r="AG425" s="57"/>
    </row>
    <row r="426" spans="6:33" s="46" customFormat="1" x14ac:dyDescent="0.2">
      <c r="F426" s="980"/>
      <c r="I426" s="988"/>
      <c r="AG426" s="57"/>
    </row>
    <row r="427" spans="6:33" s="46" customFormat="1" x14ac:dyDescent="0.2">
      <c r="F427" s="980"/>
      <c r="I427" s="988"/>
      <c r="AG427" s="57"/>
    </row>
    <row r="428" spans="6:33" s="46" customFormat="1" x14ac:dyDescent="0.2">
      <c r="F428" s="980"/>
      <c r="I428" s="988"/>
      <c r="AG428" s="57"/>
    </row>
    <row r="429" spans="6:33" s="46" customFormat="1" x14ac:dyDescent="0.2">
      <c r="F429" s="980"/>
      <c r="I429" s="988"/>
      <c r="AG429" s="57"/>
    </row>
    <row r="430" spans="6:33" s="46" customFormat="1" x14ac:dyDescent="0.2">
      <c r="F430" s="980"/>
      <c r="I430" s="988"/>
      <c r="AG430" s="57"/>
    </row>
    <row r="431" spans="6:33" s="46" customFormat="1" x14ac:dyDescent="0.2">
      <c r="F431" s="980"/>
      <c r="I431" s="988"/>
      <c r="AG431" s="57"/>
    </row>
    <row r="432" spans="6:33" s="46" customFormat="1" x14ac:dyDescent="0.2">
      <c r="F432" s="980"/>
      <c r="I432" s="988"/>
      <c r="AG432" s="57"/>
    </row>
    <row r="433" spans="6:33" s="46" customFormat="1" x14ac:dyDescent="0.2">
      <c r="F433" s="980"/>
      <c r="I433" s="988"/>
      <c r="AG433" s="57"/>
    </row>
    <row r="434" spans="6:33" s="46" customFormat="1" x14ac:dyDescent="0.2">
      <c r="F434" s="980"/>
      <c r="I434" s="988"/>
      <c r="AG434" s="57"/>
    </row>
    <row r="435" spans="6:33" s="46" customFormat="1" x14ac:dyDescent="0.2">
      <c r="F435" s="980"/>
      <c r="I435" s="988"/>
      <c r="AG435" s="57"/>
    </row>
    <row r="436" spans="6:33" s="46" customFormat="1" x14ac:dyDescent="0.2">
      <c r="F436" s="980"/>
      <c r="I436" s="988"/>
      <c r="AG436" s="57"/>
    </row>
    <row r="437" spans="6:33" s="46" customFormat="1" x14ac:dyDescent="0.2">
      <c r="F437" s="980"/>
      <c r="I437" s="988"/>
      <c r="AG437" s="57"/>
    </row>
    <row r="438" spans="6:33" s="46" customFormat="1" x14ac:dyDescent="0.2">
      <c r="F438" s="980"/>
      <c r="I438" s="988"/>
      <c r="AG438" s="57"/>
    </row>
    <row r="439" spans="6:33" s="46" customFormat="1" x14ac:dyDescent="0.2">
      <c r="F439" s="980"/>
      <c r="I439" s="988"/>
      <c r="AG439" s="57"/>
    </row>
    <row r="440" spans="6:33" s="46" customFormat="1" x14ac:dyDescent="0.2">
      <c r="F440" s="980"/>
      <c r="I440" s="988"/>
      <c r="AG440" s="57"/>
    </row>
    <row r="441" spans="6:33" s="46" customFormat="1" x14ac:dyDescent="0.2">
      <c r="F441" s="980"/>
      <c r="I441" s="988"/>
      <c r="AG441" s="57"/>
    </row>
    <row r="442" spans="6:33" s="46" customFormat="1" x14ac:dyDescent="0.2">
      <c r="F442" s="980"/>
      <c r="I442" s="988"/>
      <c r="AG442" s="57"/>
    </row>
    <row r="443" spans="6:33" s="46" customFormat="1" x14ac:dyDescent="0.2">
      <c r="F443" s="980"/>
      <c r="I443" s="988"/>
      <c r="AG443" s="57"/>
    </row>
    <row r="444" spans="6:33" s="46" customFormat="1" x14ac:dyDescent="0.2">
      <c r="F444" s="980"/>
      <c r="I444" s="988"/>
      <c r="AG444" s="57"/>
    </row>
    <row r="445" spans="6:33" s="46" customFormat="1" x14ac:dyDescent="0.2">
      <c r="F445" s="980"/>
      <c r="I445" s="988"/>
      <c r="AG445" s="57"/>
    </row>
    <row r="446" spans="6:33" s="46" customFormat="1" x14ac:dyDescent="0.2">
      <c r="F446" s="980"/>
      <c r="I446" s="988"/>
      <c r="AG446" s="57"/>
    </row>
    <row r="447" spans="6:33" s="46" customFormat="1" x14ac:dyDescent="0.2">
      <c r="F447" s="980"/>
      <c r="I447" s="988"/>
      <c r="AG447" s="57"/>
    </row>
    <row r="448" spans="6:33" s="46" customFormat="1" x14ac:dyDescent="0.2">
      <c r="F448" s="980"/>
      <c r="I448" s="988"/>
      <c r="AG448" s="57"/>
    </row>
    <row r="449" spans="6:33" s="46" customFormat="1" x14ac:dyDescent="0.2">
      <c r="F449" s="980"/>
      <c r="I449" s="988"/>
      <c r="AG449" s="57"/>
    </row>
    <row r="450" spans="6:33" s="46" customFormat="1" x14ac:dyDescent="0.2">
      <c r="F450" s="980"/>
      <c r="I450" s="988"/>
      <c r="AG450" s="57"/>
    </row>
    <row r="451" spans="6:33" s="46" customFormat="1" x14ac:dyDescent="0.2">
      <c r="F451" s="980"/>
      <c r="I451" s="988"/>
      <c r="AG451" s="57"/>
    </row>
    <row r="452" spans="6:33" s="46" customFormat="1" x14ac:dyDescent="0.2">
      <c r="F452" s="980"/>
      <c r="I452" s="988"/>
      <c r="AG452" s="57"/>
    </row>
    <row r="453" spans="6:33" s="46" customFormat="1" x14ac:dyDescent="0.2">
      <c r="F453" s="980"/>
      <c r="I453" s="988"/>
      <c r="AG453" s="57"/>
    </row>
    <row r="454" spans="6:33" s="46" customFormat="1" x14ac:dyDescent="0.2">
      <c r="F454" s="980"/>
      <c r="I454" s="988"/>
      <c r="AG454" s="57"/>
    </row>
    <row r="455" spans="6:33" s="46" customFormat="1" x14ac:dyDescent="0.2">
      <c r="F455" s="980"/>
      <c r="I455" s="988"/>
      <c r="AG455" s="57"/>
    </row>
    <row r="456" spans="6:33" s="46" customFormat="1" x14ac:dyDescent="0.2">
      <c r="F456" s="980"/>
      <c r="I456" s="988"/>
      <c r="AG456" s="57"/>
    </row>
    <row r="457" spans="6:33" s="46" customFormat="1" x14ac:dyDescent="0.2">
      <c r="F457" s="980"/>
      <c r="I457" s="988"/>
      <c r="AG457" s="57"/>
    </row>
    <row r="458" spans="6:33" s="46" customFormat="1" x14ac:dyDescent="0.2">
      <c r="F458" s="980"/>
      <c r="I458" s="988"/>
      <c r="AG458" s="57"/>
    </row>
    <row r="459" spans="6:33" s="46" customFormat="1" x14ac:dyDescent="0.2">
      <c r="F459" s="980"/>
      <c r="I459" s="988"/>
      <c r="AG459" s="57"/>
    </row>
    <row r="460" spans="6:33" s="46" customFormat="1" x14ac:dyDescent="0.2">
      <c r="F460" s="980"/>
      <c r="I460" s="988"/>
      <c r="AG460" s="57"/>
    </row>
    <row r="461" spans="6:33" s="46" customFormat="1" x14ac:dyDescent="0.2">
      <c r="F461" s="980"/>
      <c r="I461" s="988"/>
      <c r="AG461" s="57"/>
    </row>
    <row r="462" spans="6:33" s="46" customFormat="1" x14ac:dyDescent="0.2">
      <c r="F462" s="980"/>
      <c r="I462" s="988"/>
      <c r="AG462" s="57"/>
    </row>
    <row r="463" spans="6:33" s="46" customFormat="1" x14ac:dyDescent="0.2">
      <c r="F463" s="980"/>
      <c r="I463" s="988"/>
      <c r="AG463" s="57"/>
    </row>
    <row r="464" spans="6:33" s="46" customFormat="1" x14ac:dyDescent="0.2">
      <c r="F464" s="980"/>
      <c r="I464" s="988"/>
      <c r="AG464" s="57"/>
    </row>
    <row r="465" spans="6:33" s="46" customFormat="1" x14ac:dyDescent="0.2">
      <c r="F465" s="980"/>
      <c r="I465" s="988"/>
      <c r="AG465" s="57"/>
    </row>
    <row r="466" spans="6:33" s="46" customFormat="1" x14ac:dyDescent="0.2">
      <c r="F466" s="980"/>
      <c r="I466" s="988"/>
      <c r="AG466" s="57"/>
    </row>
    <row r="467" spans="6:33" s="46" customFormat="1" x14ac:dyDescent="0.2">
      <c r="F467" s="980"/>
      <c r="I467" s="988"/>
      <c r="AG467" s="57"/>
    </row>
    <row r="468" spans="6:33" s="46" customFormat="1" x14ac:dyDescent="0.2">
      <c r="F468" s="980"/>
      <c r="I468" s="988"/>
      <c r="AG468" s="57"/>
    </row>
    <row r="469" spans="6:33" s="46" customFormat="1" x14ac:dyDescent="0.2">
      <c r="F469" s="980"/>
      <c r="I469" s="988"/>
      <c r="AG469" s="57"/>
    </row>
    <row r="470" spans="6:33" s="46" customFormat="1" x14ac:dyDescent="0.2">
      <c r="F470" s="980"/>
      <c r="I470" s="988"/>
      <c r="AG470" s="57"/>
    </row>
    <row r="471" spans="6:33" s="46" customFormat="1" x14ac:dyDescent="0.2">
      <c r="F471" s="980"/>
      <c r="I471" s="988"/>
      <c r="AG471" s="57"/>
    </row>
    <row r="472" spans="6:33" s="46" customFormat="1" x14ac:dyDescent="0.2">
      <c r="F472" s="980"/>
      <c r="I472" s="988"/>
      <c r="AG472" s="57"/>
    </row>
    <row r="473" spans="6:33" s="46" customFormat="1" x14ac:dyDescent="0.2">
      <c r="F473" s="980"/>
      <c r="I473" s="988"/>
      <c r="AG473" s="57"/>
    </row>
    <row r="474" spans="6:33" s="46" customFormat="1" x14ac:dyDescent="0.2">
      <c r="F474" s="980"/>
      <c r="I474" s="988"/>
      <c r="AG474" s="57"/>
    </row>
    <row r="475" spans="6:33" s="46" customFormat="1" x14ac:dyDescent="0.2">
      <c r="F475" s="980"/>
      <c r="I475" s="988"/>
      <c r="AG475" s="57"/>
    </row>
    <row r="476" spans="6:33" s="46" customFormat="1" x14ac:dyDescent="0.2">
      <c r="F476" s="980"/>
      <c r="I476" s="988"/>
      <c r="AG476" s="57"/>
    </row>
    <row r="477" spans="6:33" s="46" customFormat="1" x14ac:dyDescent="0.2">
      <c r="F477" s="980"/>
      <c r="I477" s="988"/>
      <c r="AG477" s="57"/>
    </row>
    <row r="478" spans="6:33" s="46" customFormat="1" x14ac:dyDescent="0.2">
      <c r="F478" s="980"/>
      <c r="I478" s="988"/>
      <c r="AG478" s="57"/>
    </row>
    <row r="479" spans="6:33" s="46" customFormat="1" x14ac:dyDescent="0.2">
      <c r="F479" s="980"/>
      <c r="I479" s="988"/>
      <c r="AG479" s="57"/>
    </row>
    <row r="480" spans="6:33" s="46" customFormat="1" x14ac:dyDescent="0.2">
      <c r="F480" s="980"/>
      <c r="I480" s="988"/>
      <c r="AG480" s="57"/>
    </row>
    <row r="481" spans="6:33" s="46" customFormat="1" x14ac:dyDescent="0.2">
      <c r="F481" s="980"/>
      <c r="I481" s="988"/>
      <c r="AG481" s="57"/>
    </row>
    <row r="482" spans="6:33" s="46" customFormat="1" x14ac:dyDescent="0.2">
      <c r="F482" s="980"/>
      <c r="I482" s="988"/>
      <c r="AG482" s="57"/>
    </row>
    <row r="483" spans="6:33" s="46" customFormat="1" x14ac:dyDescent="0.2">
      <c r="F483" s="980"/>
      <c r="I483" s="988"/>
      <c r="AG483" s="57"/>
    </row>
    <row r="484" spans="6:33" s="46" customFormat="1" x14ac:dyDescent="0.2">
      <c r="F484" s="980"/>
      <c r="I484" s="988"/>
      <c r="AG484" s="57"/>
    </row>
    <row r="485" spans="6:33" s="46" customFormat="1" x14ac:dyDescent="0.2">
      <c r="F485" s="980"/>
      <c r="I485" s="988"/>
      <c r="AG485" s="57"/>
    </row>
    <row r="486" spans="6:33" s="46" customFormat="1" x14ac:dyDescent="0.2">
      <c r="F486" s="980"/>
      <c r="I486" s="988"/>
      <c r="AG486" s="57"/>
    </row>
    <row r="487" spans="6:33" s="46" customFormat="1" x14ac:dyDescent="0.2">
      <c r="F487" s="980"/>
      <c r="I487" s="988"/>
      <c r="AG487" s="57"/>
    </row>
    <row r="488" spans="6:33" s="46" customFormat="1" x14ac:dyDescent="0.2">
      <c r="F488" s="980"/>
      <c r="I488" s="988"/>
      <c r="AG488" s="57"/>
    </row>
    <row r="489" spans="6:33" s="46" customFormat="1" x14ac:dyDescent="0.2">
      <c r="F489" s="980"/>
      <c r="I489" s="988"/>
      <c r="AG489" s="57"/>
    </row>
    <row r="490" spans="6:33" s="46" customFormat="1" x14ac:dyDescent="0.2">
      <c r="F490" s="980"/>
      <c r="I490" s="988"/>
      <c r="AG490" s="57"/>
    </row>
    <row r="491" spans="6:33" s="46" customFormat="1" x14ac:dyDescent="0.2">
      <c r="F491" s="980"/>
      <c r="I491" s="988"/>
      <c r="AG491" s="57"/>
    </row>
    <row r="492" spans="6:33" s="46" customFormat="1" x14ac:dyDescent="0.2">
      <c r="F492" s="980"/>
      <c r="I492" s="988"/>
      <c r="AG492" s="57"/>
    </row>
    <row r="493" spans="6:33" s="46" customFormat="1" x14ac:dyDescent="0.2">
      <c r="F493" s="980"/>
      <c r="I493" s="988"/>
      <c r="AG493" s="57"/>
    </row>
    <row r="494" spans="6:33" s="46" customFormat="1" x14ac:dyDescent="0.2">
      <c r="F494" s="980"/>
      <c r="I494" s="988"/>
      <c r="AG494" s="57"/>
    </row>
    <row r="495" spans="6:33" s="46" customFormat="1" x14ac:dyDescent="0.2">
      <c r="F495" s="980"/>
      <c r="I495" s="988"/>
      <c r="AG495" s="57"/>
    </row>
    <row r="496" spans="6:33" s="46" customFormat="1" x14ac:dyDescent="0.2">
      <c r="F496" s="980"/>
      <c r="I496" s="988"/>
      <c r="AG496" s="57"/>
    </row>
    <row r="497" spans="6:33" s="46" customFormat="1" x14ac:dyDescent="0.2">
      <c r="F497" s="980"/>
      <c r="I497" s="988"/>
      <c r="AG497" s="57"/>
    </row>
    <row r="498" spans="6:33" s="46" customFormat="1" x14ac:dyDescent="0.2">
      <c r="F498" s="980"/>
      <c r="I498" s="988"/>
      <c r="AG498" s="57"/>
    </row>
    <row r="499" spans="6:33" s="46" customFormat="1" x14ac:dyDescent="0.2">
      <c r="F499" s="980"/>
      <c r="I499" s="988"/>
      <c r="AG499" s="57"/>
    </row>
    <row r="500" spans="6:33" s="46" customFormat="1" x14ac:dyDescent="0.2">
      <c r="F500" s="980"/>
      <c r="I500" s="988"/>
      <c r="AG500" s="57"/>
    </row>
    <row r="501" spans="6:33" s="46" customFormat="1" x14ac:dyDescent="0.2">
      <c r="F501" s="980"/>
      <c r="I501" s="988"/>
      <c r="AG501" s="57"/>
    </row>
    <row r="502" spans="6:33" s="46" customFormat="1" x14ac:dyDescent="0.2">
      <c r="F502" s="980"/>
      <c r="I502" s="988"/>
      <c r="AG502" s="57"/>
    </row>
    <row r="503" spans="6:33" s="46" customFormat="1" x14ac:dyDescent="0.2">
      <c r="F503" s="980"/>
      <c r="I503" s="988"/>
      <c r="AG503" s="57"/>
    </row>
    <row r="504" spans="6:33" s="46" customFormat="1" x14ac:dyDescent="0.2">
      <c r="F504" s="980"/>
      <c r="I504" s="988"/>
      <c r="AG504" s="57"/>
    </row>
    <row r="505" spans="6:33" s="46" customFormat="1" x14ac:dyDescent="0.2">
      <c r="F505" s="980"/>
      <c r="I505" s="988"/>
      <c r="AG505" s="57"/>
    </row>
    <row r="506" spans="6:33" s="46" customFormat="1" x14ac:dyDescent="0.2">
      <c r="F506" s="980"/>
      <c r="I506" s="988"/>
      <c r="AG506" s="57"/>
    </row>
    <row r="507" spans="6:33" s="46" customFormat="1" x14ac:dyDescent="0.2">
      <c r="F507" s="980"/>
      <c r="I507" s="988"/>
      <c r="AG507" s="57"/>
    </row>
    <row r="508" spans="6:33" s="46" customFormat="1" x14ac:dyDescent="0.2">
      <c r="F508" s="980"/>
      <c r="I508" s="988"/>
      <c r="AG508" s="57"/>
    </row>
    <row r="509" spans="6:33" s="46" customFormat="1" x14ac:dyDescent="0.2">
      <c r="F509" s="980"/>
      <c r="I509" s="988"/>
      <c r="AG509" s="57"/>
    </row>
    <row r="510" spans="6:33" s="46" customFormat="1" x14ac:dyDescent="0.2">
      <c r="F510" s="980"/>
      <c r="I510" s="988"/>
      <c r="AG510" s="57"/>
    </row>
    <row r="511" spans="6:33" s="46" customFormat="1" x14ac:dyDescent="0.2">
      <c r="F511" s="980"/>
      <c r="I511" s="988"/>
      <c r="AG511" s="57"/>
    </row>
    <row r="512" spans="6:33" s="46" customFormat="1" x14ac:dyDescent="0.2">
      <c r="F512" s="980"/>
      <c r="I512" s="988"/>
      <c r="AG512" s="57"/>
    </row>
    <row r="513" spans="6:33" s="46" customFormat="1" x14ac:dyDescent="0.2">
      <c r="F513" s="980"/>
      <c r="I513" s="988"/>
      <c r="AG513" s="57"/>
    </row>
    <row r="514" spans="6:33" s="46" customFormat="1" x14ac:dyDescent="0.2">
      <c r="F514" s="980"/>
      <c r="I514" s="988"/>
      <c r="AG514" s="57"/>
    </row>
    <row r="515" spans="6:33" s="46" customFormat="1" x14ac:dyDescent="0.2">
      <c r="F515" s="980"/>
      <c r="I515" s="988"/>
      <c r="AG515" s="57"/>
    </row>
    <row r="516" spans="6:33" s="46" customFormat="1" x14ac:dyDescent="0.2">
      <c r="F516" s="980"/>
      <c r="I516" s="988"/>
      <c r="AG516" s="57"/>
    </row>
    <row r="517" spans="6:33" s="46" customFormat="1" x14ac:dyDescent="0.2">
      <c r="F517" s="980"/>
      <c r="I517" s="988"/>
      <c r="AG517" s="57"/>
    </row>
    <row r="518" spans="6:33" s="46" customFormat="1" x14ac:dyDescent="0.2">
      <c r="F518" s="980"/>
      <c r="I518" s="988"/>
      <c r="AG518" s="57"/>
    </row>
    <row r="519" spans="6:33" s="46" customFormat="1" x14ac:dyDescent="0.2">
      <c r="F519" s="980"/>
      <c r="I519" s="988"/>
      <c r="AG519" s="57"/>
    </row>
    <row r="520" spans="6:33" s="46" customFormat="1" x14ac:dyDescent="0.2">
      <c r="F520" s="980"/>
      <c r="I520" s="988"/>
      <c r="AG520" s="57"/>
    </row>
    <row r="521" spans="6:33" s="46" customFormat="1" x14ac:dyDescent="0.2">
      <c r="F521" s="980"/>
      <c r="I521" s="988"/>
      <c r="AG521" s="57"/>
    </row>
    <row r="522" spans="6:33" s="46" customFormat="1" x14ac:dyDescent="0.2">
      <c r="F522" s="980"/>
      <c r="I522" s="988"/>
      <c r="AG522" s="57"/>
    </row>
    <row r="523" spans="6:33" s="46" customFormat="1" x14ac:dyDescent="0.2">
      <c r="F523" s="980"/>
      <c r="I523" s="988"/>
      <c r="AG523" s="57"/>
    </row>
    <row r="524" spans="6:33" s="46" customFormat="1" x14ac:dyDescent="0.2">
      <c r="F524" s="980"/>
      <c r="I524" s="988"/>
      <c r="AG524" s="57"/>
    </row>
    <row r="525" spans="6:33" s="46" customFormat="1" x14ac:dyDescent="0.2">
      <c r="F525" s="980"/>
      <c r="I525" s="988"/>
      <c r="AG525" s="57"/>
    </row>
    <row r="526" spans="6:33" s="46" customFormat="1" x14ac:dyDescent="0.2">
      <c r="F526" s="980"/>
      <c r="I526" s="988"/>
      <c r="AG526" s="57"/>
    </row>
    <row r="527" spans="6:33" s="46" customFormat="1" x14ac:dyDescent="0.2">
      <c r="F527" s="980"/>
      <c r="I527" s="988"/>
      <c r="AG527" s="57"/>
    </row>
    <row r="528" spans="6:33" s="46" customFormat="1" x14ac:dyDescent="0.2">
      <c r="F528" s="980"/>
      <c r="I528" s="988"/>
      <c r="AG528" s="57"/>
    </row>
    <row r="529" spans="6:33" s="46" customFormat="1" x14ac:dyDescent="0.2">
      <c r="F529" s="980"/>
      <c r="I529" s="988"/>
      <c r="AG529" s="57"/>
    </row>
    <row r="530" spans="6:33" s="46" customFormat="1" x14ac:dyDescent="0.2">
      <c r="F530" s="980"/>
      <c r="I530" s="988"/>
      <c r="AG530" s="57"/>
    </row>
    <row r="531" spans="6:33" s="46" customFormat="1" x14ac:dyDescent="0.2">
      <c r="F531" s="980"/>
      <c r="I531" s="988"/>
      <c r="AG531" s="57"/>
    </row>
    <row r="532" spans="6:33" s="46" customFormat="1" x14ac:dyDescent="0.2">
      <c r="F532" s="980"/>
      <c r="I532" s="988"/>
      <c r="AG532" s="57"/>
    </row>
    <row r="533" spans="6:33" s="46" customFormat="1" x14ac:dyDescent="0.2">
      <c r="F533" s="980"/>
      <c r="I533" s="988"/>
      <c r="AG533" s="57"/>
    </row>
    <row r="534" spans="6:33" s="46" customFormat="1" x14ac:dyDescent="0.2">
      <c r="F534" s="980"/>
      <c r="I534" s="988"/>
      <c r="AG534" s="57"/>
    </row>
    <row r="535" spans="6:33" s="46" customFormat="1" x14ac:dyDescent="0.2">
      <c r="F535" s="980"/>
      <c r="I535" s="988"/>
      <c r="AG535" s="57"/>
    </row>
    <row r="536" spans="6:33" s="46" customFormat="1" x14ac:dyDescent="0.2">
      <c r="F536" s="980"/>
      <c r="I536" s="988"/>
      <c r="AG536" s="57"/>
    </row>
    <row r="537" spans="6:33" s="46" customFormat="1" x14ac:dyDescent="0.2">
      <c r="F537" s="980"/>
      <c r="I537" s="988"/>
      <c r="AG537" s="57"/>
    </row>
    <row r="538" spans="6:33" s="46" customFormat="1" x14ac:dyDescent="0.2">
      <c r="F538" s="980"/>
      <c r="I538" s="988"/>
      <c r="AG538" s="57"/>
    </row>
    <row r="539" spans="6:33" s="46" customFormat="1" x14ac:dyDescent="0.2">
      <c r="F539" s="980"/>
      <c r="I539" s="988"/>
      <c r="AG539" s="57"/>
    </row>
    <row r="540" spans="6:33" s="46" customFormat="1" x14ac:dyDescent="0.2">
      <c r="F540" s="980"/>
      <c r="I540" s="988"/>
      <c r="AG540" s="57"/>
    </row>
    <row r="541" spans="6:33" s="46" customFormat="1" x14ac:dyDescent="0.2">
      <c r="F541" s="980"/>
      <c r="I541" s="988"/>
      <c r="AG541" s="57"/>
    </row>
    <row r="542" spans="6:33" s="46" customFormat="1" x14ac:dyDescent="0.2">
      <c r="F542" s="980"/>
      <c r="I542" s="988"/>
      <c r="AG542" s="57"/>
    </row>
    <row r="543" spans="6:33" s="46" customFormat="1" x14ac:dyDescent="0.2">
      <c r="F543" s="980"/>
      <c r="I543" s="988"/>
      <c r="AG543" s="57"/>
    </row>
    <row r="544" spans="6:33" s="46" customFormat="1" x14ac:dyDescent="0.2">
      <c r="F544" s="980"/>
      <c r="I544" s="988"/>
      <c r="AG544" s="57"/>
    </row>
    <row r="545" spans="6:33" s="46" customFormat="1" x14ac:dyDescent="0.2">
      <c r="F545" s="980"/>
      <c r="I545" s="988"/>
      <c r="AG545" s="57"/>
    </row>
    <row r="546" spans="6:33" s="46" customFormat="1" x14ac:dyDescent="0.2">
      <c r="F546" s="980"/>
      <c r="I546" s="988"/>
      <c r="AG546" s="57"/>
    </row>
    <row r="547" spans="6:33" s="46" customFormat="1" x14ac:dyDescent="0.2">
      <c r="F547" s="980"/>
      <c r="I547" s="988"/>
      <c r="AG547" s="57"/>
    </row>
    <row r="548" spans="6:33" s="46" customFormat="1" x14ac:dyDescent="0.2">
      <c r="F548" s="980"/>
      <c r="I548" s="988"/>
      <c r="AG548" s="57"/>
    </row>
    <row r="549" spans="6:33" s="46" customFormat="1" x14ac:dyDescent="0.2">
      <c r="F549" s="980"/>
      <c r="I549" s="988"/>
      <c r="AG549" s="57"/>
    </row>
    <row r="550" spans="6:33" s="46" customFormat="1" x14ac:dyDescent="0.2">
      <c r="F550" s="980"/>
      <c r="I550" s="988"/>
      <c r="AG550" s="57"/>
    </row>
    <row r="551" spans="6:33" s="46" customFormat="1" x14ac:dyDescent="0.2">
      <c r="F551" s="980"/>
      <c r="I551" s="988"/>
      <c r="AG551" s="57"/>
    </row>
    <row r="552" spans="6:33" s="46" customFormat="1" x14ac:dyDescent="0.2">
      <c r="F552" s="980"/>
      <c r="I552" s="988"/>
      <c r="AG552" s="57"/>
    </row>
    <row r="553" spans="6:33" s="46" customFormat="1" x14ac:dyDescent="0.2">
      <c r="F553" s="980"/>
      <c r="I553" s="988"/>
      <c r="AG553" s="57"/>
    </row>
    <row r="554" spans="6:33" s="46" customFormat="1" x14ac:dyDescent="0.2">
      <c r="F554" s="980"/>
      <c r="I554" s="988"/>
      <c r="AG554" s="57"/>
    </row>
    <row r="555" spans="6:33" s="46" customFormat="1" x14ac:dyDescent="0.2">
      <c r="F555" s="980"/>
      <c r="I555" s="988"/>
      <c r="AG555" s="57"/>
    </row>
    <row r="556" spans="6:33" s="46" customFormat="1" x14ac:dyDescent="0.2">
      <c r="F556" s="980"/>
      <c r="I556" s="988"/>
      <c r="AG556" s="57"/>
    </row>
    <row r="557" spans="6:33" s="46" customFormat="1" x14ac:dyDescent="0.2">
      <c r="F557" s="980"/>
      <c r="I557" s="988"/>
      <c r="AG557" s="57"/>
    </row>
    <row r="558" spans="6:33" s="46" customFormat="1" x14ac:dyDescent="0.2">
      <c r="F558" s="980"/>
      <c r="I558" s="988"/>
      <c r="AG558" s="57"/>
    </row>
    <row r="559" spans="6:33" s="46" customFormat="1" x14ac:dyDescent="0.2">
      <c r="F559" s="980"/>
      <c r="I559" s="988"/>
      <c r="AG559" s="57"/>
    </row>
    <row r="560" spans="6:33" s="46" customFormat="1" x14ac:dyDescent="0.2">
      <c r="F560" s="980"/>
      <c r="I560" s="988"/>
      <c r="AG560" s="57"/>
    </row>
    <row r="561" spans="6:33" s="46" customFormat="1" x14ac:dyDescent="0.2">
      <c r="F561" s="980"/>
      <c r="I561" s="988"/>
      <c r="AG561" s="57"/>
    </row>
    <row r="562" spans="6:33" s="46" customFormat="1" x14ac:dyDescent="0.2">
      <c r="F562" s="980"/>
      <c r="I562" s="988"/>
      <c r="AG562" s="57"/>
    </row>
    <row r="563" spans="6:33" s="46" customFormat="1" x14ac:dyDescent="0.2">
      <c r="F563" s="980"/>
      <c r="I563" s="988"/>
      <c r="AG563" s="57"/>
    </row>
    <row r="564" spans="6:33" s="46" customFormat="1" x14ac:dyDescent="0.2">
      <c r="F564" s="980"/>
      <c r="I564" s="988"/>
      <c r="AG564" s="57"/>
    </row>
    <row r="565" spans="6:33" s="46" customFormat="1" x14ac:dyDescent="0.2">
      <c r="F565" s="980"/>
      <c r="I565" s="988"/>
      <c r="AG565" s="57"/>
    </row>
    <row r="566" spans="6:33" s="46" customFormat="1" x14ac:dyDescent="0.2">
      <c r="F566" s="980"/>
      <c r="I566" s="988"/>
      <c r="AG566" s="57"/>
    </row>
    <row r="567" spans="6:33" s="46" customFormat="1" x14ac:dyDescent="0.2">
      <c r="F567" s="980"/>
      <c r="I567" s="988"/>
      <c r="AG567" s="57"/>
    </row>
    <row r="568" spans="6:33" s="46" customFormat="1" x14ac:dyDescent="0.2">
      <c r="F568" s="980"/>
      <c r="I568" s="988"/>
      <c r="AG568" s="57"/>
    </row>
    <row r="569" spans="6:33" s="46" customFormat="1" x14ac:dyDescent="0.2">
      <c r="F569" s="980"/>
      <c r="I569" s="988"/>
      <c r="AG569" s="57"/>
    </row>
    <row r="570" spans="6:33" s="46" customFormat="1" x14ac:dyDescent="0.2">
      <c r="F570" s="980"/>
      <c r="I570" s="988"/>
      <c r="AG570" s="57"/>
    </row>
    <row r="571" spans="6:33" s="46" customFormat="1" x14ac:dyDescent="0.2">
      <c r="F571" s="980"/>
      <c r="I571" s="988"/>
      <c r="AG571" s="57"/>
    </row>
    <row r="572" spans="6:33" s="46" customFormat="1" x14ac:dyDescent="0.2">
      <c r="F572" s="980"/>
      <c r="I572" s="988"/>
      <c r="AG572" s="57"/>
    </row>
    <row r="573" spans="6:33" s="46" customFormat="1" x14ac:dyDescent="0.2">
      <c r="F573" s="980"/>
      <c r="I573" s="988"/>
      <c r="AG573" s="57"/>
    </row>
    <row r="574" spans="6:33" s="46" customFormat="1" x14ac:dyDescent="0.2">
      <c r="F574" s="980"/>
      <c r="I574" s="988"/>
      <c r="AG574" s="57"/>
    </row>
    <row r="575" spans="6:33" s="46" customFormat="1" x14ac:dyDescent="0.2">
      <c r="F575" s="980"/>
      <c r="I575" s="988"/>
      <c r="AG575" s="57"/>
    </row>
    <row r="576" spans="6:33" s="46" customFormat="1" x14ac:dyDescent="0.2">
      <c r="F576" s="980"/>
      <c r="I576" s="988"/>
      <c r="AG576" s="57"/>
    </row>
    <row r="577" spans="6:33" s="46" customFormat="1" x14ac:dyDescent="0.2">
      <c r="F577" s="980"/>
      <c r="I577" s="988"/>
      <c r="AG577" s="57"/>
    </row>
    <row r="578" spans="6:33" s="46" customFormat="1" x14ac:dyDescent="0.2">
      <c r="F578" s="980"/>
      <c r="I578" s="988"/>
      <c r="AG578" s="57"/>
    </row>
    <row r="579" spans="6:33" s="46" customFormat="1" x14ac:dyDescent="0.2">
      <c r="F579" s="980"/>
      <c r="I579" s="988"/>
      <c r="AG579" s="57"/>
    </row>
    <row r="580" spans="6:33" s="46" customFormat="1" x14ac:dyDescent="0.2">
      <c r="F580" s="980"/>
      <c r="I580" s="988"/>
      <c r="AG580" s="57"/>
    </row>
    <row r="581" spans="6:33" s="46" customFormat="1" x14ac:dyDescent="0.2">
      <c r="F581" s="980"/>
      <c r="I581" s="988"/>
      <c r="AG581" s="57"/>
    </row>
    <row r="582" spans="6:33" s="46" customFormat="1" x14ac:dyDescent="0.2">
      <c r="F582" s="980"/>
      <c r="I582" s="988"/>
      <c r="AG582" s="57"/>
    </row>
    <row r="583" spans="6:33" s="46" customFormat="1" x14ac:dyDescent="0.2">
      <c r="F583" s="980"/>
      <c r="I583" s="988"/>
      <c r="AG583" s="57"/>
    </row>
    <row r="584" spans="6:33" s="46" customFormat="1" x14ac:dyDescent="0.2">
      <c r="F584" s="980"/>
      <c r="I584" s="988"/>
      <c r="AG584" s="57"/>
    </row>
    <row r="585" spans="6:33" s="46" customFormat="1" x14ac:dyDescent="0.2">
      <c r="F585" s="980"/>
      <c r="I585" s="988"/>
      <c r="AG585" s="57"/>
    </row>
    <row r="586" spans="6:33" s="46" customFormat="1" x14ac:dyDescent="0.2">
      <c r="F586" s="980"/>
      <c r="I586" s="988"/>
      <c r="AG586" s="57"/>
    </row>
    <row r="587" spans="6:33" s="46" customFormat="1" x14ac:dyDescent="0.2">
      <c r="F587" s="980"/>
      <c r="I587" s="988"/>
      <c r="AG587" s="57"/>
    </row>
    <row r="588" spans="6:33" s="46" customFormat="1" x14ac:dyDescent="0.2">
      <c r="F588" s="980"/>
      <c r="I588" s="988"/>
      <c r="AG588" s="57"/>
    </row>
    <row r="589" spans="6:33" s="46" customFormat="1" x14ac:dyDescent="0.2">
      <c r="F589" s="980"/>
      <c r="I589" s="988"/>
      <c r="AG589" s="57"/>
    </row>
    <row r="590" spans="6:33" s="46" customFormat="1" x14ac:dyDescent="0.2">
      <c r="F590" s="980"/>
      <c r="I590" s="988"/>
      <c r="AG590" s="57"/>
    </row>
    <row r="591" spans="6:33" s="46" customFormat="1" x14ac:dyDescent="0.2">
      <c r="F591" s="980"/>
      <c r="I591" s="988"/>
      <c r="AG591" s="57"/>
    </row>
    <row r="592" spans="6:33" s="46" customFormat="1" x14ac:dyDescent="0.2">
      <c r="F592" s="980"/>
      <c r="I592" s="988"/>
      <c r="AG592" s="57"/>
    </row>
    <row r="593" spans="6:33" s="46" customFormat="1" x14ac:dyDescent="0.2">
      <c r="F593" s="980"/>
      <c r="I593" s="988"/>
      <c r="AG593" s="57"/>
    </row>
    <row r="594" spans="6:33" s="46" customFormat="1" x14ac:dyDescent="0.2">
      <c r="F594" s="980"/>
      <c r="I594" s="988"/>
      <c r="AG594" s="57"/>
    </row>
    <row r="595" spans="6:33" s="46" customFormat="1" x14ac:dyDescent="0.2">
      <c r="F595" s="980"/>
      <c r="I595" s="988"/>
      <c r="AG595" s="57"/>
    </row>
    <row r="596" spans="6:33" s="46" customFormat="1" x14ac:dyDescent="0.2">
      <c r="F596" s="980"/>
      <c r="I596" s="988"/>
      <c r="AG596" s="57"/>
    </row>
    <row r="597" spans="6:33" s="46" customFormat="1" x14ac:dyDescent="0.2">
      <c r="F597" s="980"/>
      <c r="I597" s="988"/>
      <c r="AG597" s="57"/>
    </row>
    <row r="598" spans="6:33" s="46" customFormat="1" x14ac:dyDescent="0.2">
      <c r="F598" s="980"/>
      <c r="I598" s="988"/>
      <c r="AG598" s="57"/>
    </row>
    <row r="599" spans="6:33" s="46" customFormat="1" x14ac:dyDescent="0.2">
      <c r="F599" s="980"/>
      <c r="I599" s="988"/>
      <c r="AG599" s="57"/>
    </row>
    <row r="600" spans="6:33" s="46" customFormat="1" x14ac:dyDescent="0.2">
      <c r="F600" s="980"/>
      <c r="I600" s="988"/>
      <c r="AG600" s="57"/>
    </row>
    <row r="601" spans="6:33" s="46" customFormat="1" x14ac:dyDescent="0.2">
      <c r="F601" s="980"/>
      <c r="I601" s="988"/>
      <c r="AG601" s="57"/>
    </row>
    <row r="602" spans="6:33" s="46" customFormat="1" x14ac:dyDescent="0.2">
      <c r="F602" s="980"/>
      <c r="I602" s="988"/>
      <c r="AG602" s="57"/>
    </row>
    <row r="603" spans="6:33" s="46" customFormat="1" x14ac:dyDescent="0.2">
      <c r="F603" s="980"/>
      <c r="I603" s="988"/>
      <c r="AG603" s="57"/>
    </row>
    <row r="604" spans="6:33" s="46" customFormat="1" x14ac:dyDescent="0.2">
      <c r="F604" s="980"/>
      <c r="I604" s="988"/>
      <c r="AG604" s="57"/>
    </row>
    <row r="605" spans="6:33" s="46" customFormat="1" x14ac:dyDescent="0.2">
      <c r="F605" s="980"/>
      <c r="I605" s="988"/>
      <c r="AG605" s="57"/>
    </row>
    <row r="606" spans="6:33" s="46" customFormat="1" x14ac:dyDescent="0.2">
      <c r="F606" s="980"/>
      <c r="I606" s="988"/>
      <c r="AG606" s="57"/>
    </row>
    <row r="607" spans="6:33" s="46" customFormat="1" x14ac:dyDescent="0.2">
      <c r="F607" s="980"/>
      <c r="I607" s="988"/>
      <c r="AG607" s="57"/>
    </row>
    <row r="608" spans="6:33" s="46" customFormat="1" x14ac:dyDescent="0.2">
      <c r="F608" s="980"/>
      <c r="I608" s="988"/>
      <c r="AG608" s="57"/>
    </row>
    <row r="609" spans="6:33" s="46" customFormat="1" x14ac:dyDescent="0.2">
      <c r="F609" s="980"/>
      <c r="I609" s="988"/>
      <c r="AG609" s="57"/>
    </row>
    <row r="610" spans="6:33" s="46" customFormat="1" x14ac:dyDescent="0.2">
      <c r="F610" s="980"/>
      <c r="I610" s="988"/>
      <c r="AG610" s="57"/>
    </row>
    <row r="611" spans="6:33" s="46" customFormat="1" x14ac:dyDescent="0.2">
      <c r="F611" s="980"/>
      <c r="I611" s="988"/>
      <c r="AG611" s="57"/>
    </row>
    <row r="612" spans="6:33" s="46" customFormat="1" x14ac:dyDescent="0.2">
      <c r="F612" s="980"/>
      <c r="I612" s="988"/>
      <c r="AG612" s="57"/>
    </row>
    <row r="613" spans="6:33" s="46" customFormat="1" x14ac:dyDescent="0.2">
      <c r="F613" s="980"/>
      <c r="I613" s="988"/>
      <c r="AG613" s="57"/>
    </row>
    <row r="614" spans="6:33" s="46" customFormat="1" x14ac:dyDescent="0.2">
      <c r="F614" s="980"/>
      <c r="I614" s="988"/>
      <c r="AG614" s="57"/>
    </row>
    <row r="615" spans="6:33" s="46" customFormat="1" x14ac:dyDescent="0.2">
      <c r="F615" s="980"/>
      <c r="I615" s="988"/>
      <c r="AG615" s="57"/>
    </row>
    <row r="616" spans="6:33" s="46" customFormat="1" x14ac:dyDescent="0.2">
      <c r="F616" s="980"/>
      <c r="I616" s="988"/>
      <c r="AG616" s="57"/>
    </row>
    <row r="617" spans="6:33" s="46" customFormat="1" x14ac:dyDescent="0.2">
      <c r="F617" s="980"/>
      <c r="I617" s="988"/>
      <c r="AG617" s="57"/>
    </row>
    <row r="618" spans="6:33" s="46" customFormat="1" x14ac:dyDescent="0.2">
      <c r="F618" s="980"/>
      <c r="I618" s="988"/>
      <c r="AG618" s="57"/>
    </row>
    <row r="619" spans="6:33" s="46" customFormat="1" x14ac:dyDescent="0.2">
      <c r="F619" s="980"/>
      <c r="I619" s="988"/>
      <c r="AG619" s="57"/>
    </row>
    <row r="620" spans="6:33" s="46" customFormat="1" x14ac:dyDescent="0.2">
      <c r="F620" s="980"/>
      <c r="I620" s="988"/>
      <c r="AG620" s="57"/>
    </row>
    <row r="621" spans="6:33" s="46" customFormat="1" x14ac:dyDescent="0.2">
      <c r="F621" s="980"/>
      <c r="I621" s="988"/>
      <c r="AG621" s="57"/>
    </row>
    <row r="622" spans="6:33" s="46" customFormat="1" x14ac:dyDescent="0.2">
      <c r="F622" s="980"/>
      <c r="I622" s="988"/>
      <c r="AG622" s="57"/>
    </row>
    <row r="623" spans="6:33" s="46" customFormat="1" x14ac:dyDescent="0.2">
      <c r="F623" s="980"/>
      <c r="I623" s="988"/>
      <c r="AG623" s="57"/>
    </row>
    <row r="624" spans="6:33" s="46" customFormat="1" x14ac:dyDescent="0.2">
      <c r="F624" s="980"/>
      <c r="I624" s="988"/>
      <c r="AG624" s="57"/>
    </row>
    <row r="625" spans="6:33" s="46" customFormat="1" x14ac:dyDescent="0.2">
      <c r="F625" s="980"/>
      <c r="I625" s="988"/>
      <c r="AG625" s="57"/>
    </row>
    <row r="626" spans="6:33" s="46" customFormat="1" x14ac:dyDescent="0.2">
      <c r="F626" s="980"/>
      <c r="I626" s="988"/>
      <c r="AG626" s="57"/>
    </row>
    <row r="627" spans="6:33" s="46" customFormat="1" x14ac:dyDescent="0.2">
      <c r="F627" s="980"/>
      <c r="I627" s="988"/>
      <c r="AG627" s="57"/>
    </row>
    <row r="628" spans="6:33" s="46" customFormat="1" x14ac:dyDescent="0.2">
      <c r="F628" s="980"/>
      <c r="I628" s="988"/>
      <c r="AG628" s="57"/>
    </row>
    <row r="629" spans="6:33" s="46" customFormat="1" x14ac:dyDescent="0.2">
      <c r="F629" s="980"/>
      <c r="I629" s="988"/>
      <c r="AG629" s="57"/>
    </row>
    <row r="630" spans="6:33" s="46" customFormat="1" x14ac:dyDescent="0.2">
      <c r="F630" s="980"/>
      <c r="I630" s="988"/>
      <c r="AG630" s="57"/>
    </row>
    <row r="631" spans="6:33" s="46" customFormat="1" x14ac:dyDescent="0.2">
      <c r="F631" s="980"/>
      <c r="I631" s="988"/>
      <c r="AG631" s="57"/>
    </row>
    <row r="632" spans="6:33" s="46" customFormat="1" x14ac:dyDescent="0.2">
      <c r="F632" s="980"/>
      <c r="I632" s="988"/>
      <c r="AG632" s="57"/>
    </row>
    <row r="633" spans="6:33" s="46" customFormat="1" x14ac:dyDescent="0.2">
      <c r="F633" s="980"/>
      <c r="I633" s="988"/>
      <c r="AG633" s="57"/>
    </row>
    <row r="634" spans="6:33" s="46" customFormat="1" x14ac:dyDescent="0.2">
      <c r="F634" s="980"/>
      <c r="I634" s="988"/>
      <c r="AG634" s="57"/>
    </row>
    <row r="635" spans="6:33" s="46" customFormat="1" x14ac:dyDescent="0.2">
      <c r="F635" s="980"/>
      <c r="I635" s="988"/>
      <c r="AG635" s="57"/>
    </row>
    <row r="636" spans="6:33" s="46" customFormat="1" x14ac:dyDescent="0.2">
      <c r="F636" s="980"/>
      <c r="I636" s="988"/>
      <c r="AG636" s="57"/>
    </row>
    <row r="637" spans="6:33" s="46" customFormat="1" x14ac:dyDescent="0.2">
      <c r="F637" s="980"/>
      <c r="I637" s="988"/>
      <c r="AG637" s="57"/>
    </row>
    <row r="638" spans="6:33" s="46" customFormat="1" x14ac:dyDescent="0.2">
      <c r="F638" s="980"/>
      <c r="I638" s="988"/>
      <c r="AG638" s="57"/>
    </row>
    <row r="639" spans="6:33" s="46" customFormat="1" x14ac:dyDescent="0.2">
      <c r="F639" s="980"/>
      <c r="I639" s="988"/>
      <c r="AG639" s="57"/>
    </row>
    <row r="640" spans="6:33" s="46" customFormat="1" x14ac:dyDescent="0.2">
      <c r="F640" s="980"/>
      <c r="I640" s="988"/>
      <c r="AG640" s="57"/>
    </row>
    <row r="641" spans="6:33" s="46" customFormat="1" x14ac:dyDescent="0.2">
      <c r="F641" s="980"/>
      <c r="I641" s="988"/>
      <c r="AG641" s="57"/>
    </row>
    <row r="642" spans="6:33" s="46" customFormat="1" x14ac:dyDescent="0.2">
      <c r="F642" s="980"/>
      <c r="I642" s="988"/>
      <c r="AG642" s="57"/>
    </row>
    <row r="643" spans="6:33" s="46" customFormat="1" x14ac:dyDescent="0.2">
      <c r="F643" s="980"/>
      <c r="I643" s="988"/>
      <c r="AG643" s="57"/>
    </row>
    <row r="644" spans="6:33" s="46" customFormat="1" x14ac:dyDescent="0.2">
      <c r="F644" s="980"/>
      <c r="I644" s="988"/>
      <c r="AG644" s="57"/>
    </row>
    <row r="645" spans="6:33" s="46" customFormat="1" x14ac:dyDescent="0.2">
      <c r="F645" s="980"/>
      <c r="I645" s="988"/>
      <c r="AG645" s="57"/>
    </row>
    <row r="646" spans="6:33" s="46" customFormat="1" x14ac:dyDescent="0.2">
      <c r="F646" s="980"/>
      <c r="I646" s="988"/>
      <c r="AG646" s="57"/>
    </row>
    <row r="647" spans="6:33" s="46" customFormat="1" x14ac:dyDescent="0.2">
      <c r="F647" s="980"/>
      <c r="I647" s="988"/>
      <c r="AG647" s="57"/>
    </row>
    <row r="648" spans="6:33" s="46" customFormat="1" x14ac:dyDescent="0.2">
      <c r="F648" s="980"/>
      <c r="I648" s="988"/>
      <c r="AG648" s="57"/>
    </row>
    <row r="649" spans="6:33" s="46" customFormat="1" x14ac:dyDescent="0.2">
      <c r="F649" s="980"/>
      <c r="I649" s="988"/>
      <c r="AG649" s="57"/>
    </row>
    <row r="650" spans="6:33" s="46" customFormat="1" x14ac:dyDescent="0.2">
      <c r="F650" s="980"/>
      <c r="I650" s="988"/>
      <c r="AG650" s="57"/>
    </row>
    <row r="651" spans="6:33" s="46" customFormat="1" x14ac:dyDescent="0.2">
      <c r="F651" s="980"/>
      <c r="I651" s="988"/>
      <c r="AG651" s="57"/>
    </row>
    <row r="652" spans="6:33" s="46" customFormat="1" x14ac:dyDescent="0.2">
      <c r="F652" s="980"/>
      <c r="I652" s="988"/>
      <c r="AG652" s="57"/>
    </row>
    <row r="653" spans="6:33" s="46" customFormat="1" x14ac:dyDescent="0.2">
      <c r="F653" s="980"/>
      <c r="I653" s="988"/>
      <c r="AG653" s="57"/>
    </row>
    <row r="654" spans="6:33" s="46" customFormat="1" x14ac:dyDescent="0.2">
      <c r="F654" s="980"/>
      <c r="I654" s="988"/>
      <c r="AG654" s="57"/>
    </row>
    <row r="655" spans="6:33" s="46" customFormat="1" x14ac:dyDescent="0.2">
      <c r="F655" s="980"/>
      <c r="I655" s="988"/>
      <c r="AG655" s="57"/>
    </row>
    <row r="656" spans="6:33" s="46" customFormat="1" x14ac:dyDescent="0.2">
      <c r="F656" s="980"/>
      <c r="I656" s="988"/>
      <c r="AG656" s="57"/>
    </row>
    <row r="657" spans="6:33" s="46" customFormat="1" x14ac:dyDescent="0.2">
      <c r="F657" s="980"/>
      <c r="I657" s="988"/>
      <c r="AG657" s="57"/>
    </row>
    <row r="658" spans="6:33" s="46" customFormat="1" x14ac:dyDescent="0.2">
      <c r="F658" s="980"/>
      <c r="I658" s="988"/>
      <c r="AG658" s="57"/>
    </row>
    <row r="659" spans="6:33" s="46" customFormat="1" x14ac:dyDescent="0.2">
      <c r="F659" s="980"/>
      <c r="I659" s="988"/>
      <c r="AG659" s="57"/>
    </row>
    <row r="660" spans="6:33" s="46" customFormat="1" x14ac:dyDescent="0.2">
      <c r="F660" s="980"/>
      <c r="I660" s="988"/>
      <c r="AG660" s="57"/>
    </row>
    <row r="661" spans="6:33" s="46" customFormat="1" x14ac:dyDescent="0.2">
      <c r="F661" s="980"/>
      <c r="I661" s="988"/>
      <c r="AG661" s="57"/>
    </row>
    <row r="662" spans="6:33" s="46" customFormat="1" x14ac:dyDescent="0.2">
      <c r="F662" s="980"/>
      <c r="I662" s="988"/>
      <c r="AG662" s="57"/>
    </row>
    <row r="663" spans="6:33" s="46" customFormat="1" x14ac:dyDescent="0.2">
      <c r="F663" s="980"/>
      <c r="I663" s="988"/>
      <c r="AG663" s="57"/>
    </row>
    <row r="664" spans="6:33" s="46" customFormat="1" x14ac:dyDescent="0.2">
      <c r="F664" s="980"/>
      <c r="I664" s="988"/>
      <c r="AG664" s="57"/>
    </row>
    <row r="665" spans="6:33" s="46" customFormat="1" x14ac:dyDescent="0.2">
      <c r="F665" s="980"/>
      <c r="I665" s="988"/>
      <c r="AG665" s="57"/>
    </row>
    <row r="666" spans="6:33" s="46" customFormat="1" x14ac:dyDescent="0.2">
      <c r="F666" s="980"/>
      <c r="I666" s="988"/>
      <c r="AG666" s="57"/>
    </row>
    <row r="667" spans="6:33" s="46" customFormat="1" x14ac:dyDescent="0.2">
      <c r="F667" s="980"/>
      <c r="I667" s="988"/>
      <c r="AG667" s="57"/>
    </row>
    <row r="668" spans="6:33" s="46" customFormat="1" x14ac:dyDescent="0.2">
      <c r="F668" s="980"/>
      <c r="I668" s="988"/>
      <c r="AG668" s="57"/>
    </row>
    <row r="669" spans="6:33" s="46" customFormat="1" x14ac:dyDescent="0.2">
      <c r="F669" s="980"/>
      <c r="I669" s="988"/>
      <c r="AG669" s="57"/>
    </row>
    <row r="670" spans="6:33" s="46" customFormat="1" x14ac:dyDescent="0.2">
      <c r="F670" s="980"/>
      <c r="I670" s="988"/>
      <c r="AG670" s="57"/>
    </row>
    <row r="671" spans="6:33" s="46" customFormat="1" x14ac:dyDescent="0.2">
      <c r="F671" s="980"/>
      <c r="I671" s="988"/>
      <c r="AG671" s="57"/>
    </row>
    <row r="672" spans="6:33" s="46" customFormat="1" x14ac:dyDescent="0.2">
      <c r="F672" s="980"/>
      <c r="I672" s="988"/>
      <c r="AG672" s="57"/>
    </row>
    <row r="673" spans="6:33" s="46" customFormat="1" x14ac:dyDescent="0.2">
      <c r="F673" s="980"/>
      <c r="I673" s="988"/>
      <c r="AG673" s="57"/>
    </row>
    <row r="674" spans="6:33" s="46" customFormat="1" x14ac:dyDescent="0.2">
      <c r="F674" s="980"/>
      <c r="I674" s="988"/>
      <c r="AG674" s="57"/>
    </row>
    <row r="675" spans="6:33" s="46" customFormat="1" x14ac:dyDescent="0.2">
      <c r="F675" s="980"/>
      <c r="I675" s="988"/>
      <c r="AG675" s="57"/>
    </row>
    <row r="676" spans="6:33" s="46" customFormat="1" x14ac:dyDescent="0.2">
      <c r="F676" s="980"/>
      <c r="I676" s="988"/>
      <c r="AG676" s="57"/>
    </row>
    <row r="677" spans="6:33" s="46" customFormat="1" x14ac:dyDescent="0.2">
      <c r="F677" s="980"/>
      <c r="I677" s="988"/>
      <c r="AG677" s="57"/>
    </row>
    <row r="678" spans="6:33" s="46" customFormat="1" x14ac:dyDescent="0.2">
      <c r="F678" s="980"/>
      <c r="I678" s="988"/>
      <c r="AG678" s="57"/>
    </row>
    <row r="679" spans="6:33" s="46" customFormat="1" x14ac:dyDescent="0.2">
      <c r="F679" s="980"/>
      <c r="I679" s="988"/>
      <c r="AG679" s="57"/>
    </row>
    <row r="680" spans="6:33" s="46" customFormat="1" x14ac:dyDescent="0.2">
      <c r="F680" s="980"/>
      <c r="I680" s="988"/>
      <c r="AG680" s="57"/>
    </row>
    <row r="681" spans="6:33" s="46" customFormat="1" x14ac:dyDescent="0.2">
      <c r="F681" s="980"/>
      <c r="I681" s="988"/>
      <c r="AG681" s="57"/>
    </row>
    <row r="682" spans="6:33" s="46" customFormat="1" x14ac:dyDescent="0.2">
      <c r="F682" s="980"/>
      <c r="I682" s="988"/>
      <c r="AG682" s="57"/>
    </row>
    <row r="683" spans="6:33" s="46" customFormat="1" x14ac:dyDescent="0.2">
      <c r="F683" s="980"/>
      <c r="I683" s="988"/>
      <c r="AG683" s="57"/>
    </row>
    <row r="684" spans="6:33" s="46" customFormat="1" x14ac:dyDescent="0.2">
      <c r="F684" s="980"/>
      <c r="I684" s="988"/>
      <c r="AG684" s="57"/>
    </row>
    <row r="685" spans="6:33" s="46" customFormat="1" x14ac:dyDescent="0.2">
      <c r="F685" s="980"/>
      <c r="I685" s="988"/>
      <c r="AG685" s="57"/>
    </row>
    <row r="686" spans="6:33" s="46" customFormat="1" x14ac:dyDescent="0.2">
      <c r="F686" s="980"/>
      <c r="I686" s="988"/>
      <c r="AG686" s="57"/>
    </row>
    <row r="687" spans="6:33" s="46" customFormat="1" x14ac:dyDescent="0.2">
      <c r="F687" s="980"/>
      <c r="I687" s="988"/>
      <c r="AG687" s="57"/>
    </row>
    <row r="688" spans="6:33" s="46" customFormat="1" x14ac:dyDescent="0.2">
      <c r="F688" s="980"/>
      <c r="I688" s="988"/>
      <c r="AG688" s="57"/>
    </row>
    <row r="689" spans="6:33" s="46" customFormat="1" x14ac:dyDescent="0.2">
      <c r="F689" s="980"/>
      <c r="I689" s="988"/>
      <c r="AG689" s="57"/>
    </row>
    <row r="690" spans="6:33" s="46" customFormat="1" x14ac:dyDescent="0.2">
      <c r="F690" s="980"/>
      <c r="I690" s="988"/>
      <c r="AG690" s="57"/>
    </row>
    <row r="691" spans="6:33" s="46" customFormat="1" x14ac:dyDescent="0.2">
      <c r="F691" s="980"/>
      <c r="I691" s="988"/>
      <c r="AG691" s="57"/>
    </row>
    <row r="692" spans="6:33" s="46" customFormat="1" x14ac:dyDescent="0.2">
      <c r="F692" s="980"/>
      <c r="I692" s="988"/>
      <c r="AG692" s="57"/>
    </row>
    <row r="693" spans="6:33" s="46" customFormat="1" x14ac:dyDescent="0.2">
      <c r="F693" s="980"/>
      <c r="I693" s="988"/>
      <c r="AG693" s="57"/>
    </row>
    <row r="694" spans="6:33" s="46" customFormat="1" x14ac:dyDescent="0.2">
      <c r="F694" s="980"/>
      <c r="I694" s="988"/>
      <c r="AG694" s="57"/>
    </row>
    <row r="695" spans="6:33" s="46" customFormat="1" x14ac:dyDescent="0.2">
      <c r="F695" s="980"/>
      <c r="I695" s="988"/>
      <c r="AG695" s="57"/>
    </row>
    <row r="696" spans="6:33" s="46" customFormat="1" x14ac:dyDescent="0.2">
      <c r="F696" s="980"/>
      <c r="I696" s="988"/>
      <c r="AG696" s="57"/>
    </row>
    <row r="697" spans="6:33" s="46" customFormat="1" x14ac:dyDescent="0.2">
      <c r="F697" s="980"/>
      <c r="I697" s="988"/>
      <c r="AG697" s="57"/>
    </row>
    <row r="698" spans="6:33" s="46" customFormat="1" x14ac:dyDescent="0.2">
      <c r="F698" s="980"/>
      <c r="I698" s="988"/>
      <c r="AG698" s="57"/>
    </row>
    <row r="699" spans="6:33" s="46" customFormat="1" x14ac:dyDescent="0.2">
      <c r="F699" s="980"/>
      <c r="I699" s="988"/>
      <c r="AG699" s="57"/>
    </row>
    <row r="700" spans="6:33" s="46" customFormat="1" x14ac:dyDescent="0.2">
      <c r="F700" s="980"/>
      <c r="I700" s="988"/>
      <c r="AG700" s="57"/>
    </row>
    <row r="701" spans="6:33" s="46" customFormat="1" x14ac:dyDescent="0.2">
      <c r="F701" s="980"/>
      <c r="I701" s="988"/>
      <c r="AG701" s="57"/>
    </row>
    <row r="702" spans="6:33" s="46" customFormat="1" x14ac:dyDescent="0.2">
      <c r="F702" s="980"/>
      <c r="I702" s="988"/>
      <c r="AG702" s="57"/>
    </row>
    <row r="703" spans="6:33" s="46" customFormat="1" x14ac:dyDescent="0.2">
      <c r="F703" s="980"/>
      <c r="I703" s="988"/>
      <c r="AG703" s="57"/>
    </row>
    <row r="704" spans="6:33" s="46" customFormat="1" x14ac:dyDescent="0.2">
      <c r="F704" s="980"/>
      <c r="I704" s="988"/>
      <c r="AG704" s="57"/>
    </row>
    <row r="705" spans="6:33" s="46" customFormat="1" x14ac:dyDescent="0.2">
      <c r="F705" s="980"/>
      <c r="I705" s="988"/>
      <c r="AG705" s="57"/>
    </row>
    <row r="706" spans="6:33" s="46" customFormat="1" x14ac:dyDescent="0.2">
      <c r="F706" s="980"/>
      <c r="I706" s="988"/>
      <c r="AG706" s="57"/>
    </row>
    <row r="707" spans="6:33" s="46" customFormat="1" x14ac:dyDescent="0.2">
      <c r="F707" s="980"/>
      <c r="I707" s="988"/>
      <c r="AG707" s="57"/>
    </row>
    <row r="708" spans="6:33" s="46" customFormat="1" x14ac:dyDescent="0.2">
      <c r="F708" s="980"/>
      <c r="I708" s="988"/>
      <c r="AG708" s="57"/>
    </row>
    <row r="709" spans="6:33" s="46" customFormat="1" x14ac:dyDescent="0.2">
      <c r="F709" s="980"/>
      <c r="I709" s="988"/>
      <c r="AG709" s="57"/>
    </row>
    <row r="710" spans="6:33" s="46" customFormat="1" x14ac:dyDescent="0.2">
      <c r="F710" s="980"/>
      <c r="I710" s="988"/>
      <c r="AG710" s="57"/>
    </row>
    <row r="711" spans="6:33" s="46" customFormat="1" x14ac:dyDescent="0.2">
      <c r="F711" s="980"/>
      <c r="I711" s="988"/>
      <c r="AG711" s="57"/>
    </row>
    <row r="712" spans="6:33" s="46" customFormat="1" x14ac:dyDescent="0.2">
      <c r="F712" s="980"/>
      <c r="I712" s="988"/>
      <c r="AG712" s="57"/>
    </row>
    <row r="713" spans="6:33" s="46" customFormat="1" x14ac:dyDescent="0.2">
      <c r="F713" s="980"/>
      <c r="I713" s="988"/>
      <c r="AG713" s="57"/>
    </row>
    <row r="714" spans="6:33" s="46" customFormat="1" x14ac:dyDescent="0.2">
      <c r="F714" s="980"/>
      <c r="I714" s="988"/>
      <c r="AG714" s="57"/>
    </row>
    <row r="715" spans="6:33" s="46" customFormat="1" x14ac:dyDescent="0.2">
      <c r="F715" s="980"/>
      <c r="I715" s="988"/>
      <c r="AG715" s="57"/>
    </row>
    <row r="716" spans="6:33" s="46" customFormat="1" x14ac:dyDescent="0.2">
      <c r="F716" s="980"/>
      <c r="I716" s="988"/>
      <c r="AG716" s="57"/>
    </row>
    <row r="717" spans="6:33" s="46" customFormat="1" x14ac:dyDescent="0.2">
      <c r="F717" s="980"/>
      <c r="I717" s="988"/>
      <c r="AG717" s="57"/>
    </row>
    <row r="718" spans="6:33" s="46" customFormat="1" x14ac:dyDescent="0.2">
      <c r="F718" s="980"/>
      <c r="I718" s="988"/>
      <c r="AG718" s="57"/>
    </row>
    <row r="719" spans="6:33" s="46" customFormat="1" x14ac:dyDescent="0.2">
      <c r="F719" s="980"/>
      <c r="I719" s="988"/>
      <c r="AG719" s="57"/>
    </row>
    <row r="720" spans="6:33" s="46" customFormat="1" x14ac:dyDescent="0.2">
      <c r="F720" s="980"/>
      <c r="I720" s="988"/>
      <c r="AG720" s="57"/>
    </row>
    <row r="721" spans="6:33" s="46" customFormat="1" x14ac:dyDescent="0.2">
      <c r="F721" s="980"/>
      <c r="I721" s="988"/>
      <c r="AG721" s="57"/>
    </row>
    <row r="722" spans="6:33" s="46" customFormat="1" x14ac:dyDescent="0.2">
      <c r="F722" s="980"/>
      <c r="I722" s="988"/>
      <c r="AG722" s="57"/>
    </row>
    <row r="723" spans="6:33" s="46" customFormat="1" x14ac:dyDescent="0.2">
      <c r="F723" s="980"/>
      <c r="I723" s="988"/>
      <c r="AG723" s="57"/>
    </row>
    <row r="724" spans="6:33" s="46" customFormat="1" x14ac:dyDescent="0.2">
      <c r="F724" s="980"/>
      <c r="I724" s="988"/>
      <c r="AG724" s="57"/>
    </row>
    <row r="725" spans="6:33" s="46" customFormat="1" x14ac:dyDescent="0.2">
      <c r="F725" s="980"/>
      <c r="I725" s="988"/>
      <c r="AG725" s="57"/>
    </row>
    <row r="726" spans="6:33" s="46" customFormat="1" x14ac:dyDescent="0.2">
      <c r="F726" s="980"/>
      <c r="I726" s="988"/>
      <c r="AG726" s="57"/>
    </row>
    <row r="727" spans="6:33" s="46" customFormat="1" x14ac:dyDescent="0.2">
      <c r="F727" s="980"/>
      <c r="I727" s="988"/>
      <c r="AG727" s="57"/>
    </row>
    <row r="728" spans="6:33" s="46" customFormat="1" x14ac:dyDescent="0.2">
      <c r="F728" s="980"/>
      <c r="I728" s="988"/>
      <c r="AG728" s="57"/>
    </row>
    <row r="729" spans="6:33" s="46" customFormat="1" x14ac:dyDescent="0.2">
      <c r="F729" s="980"/>
      <c r="I729" s="988"/>
      <c r="AG729" s="57"/>
    </row>
    <row r="730" spans="6:33" s="46" customFormat="1" x14ac:dyDescent="0.2">
      <c r="F730" s="980"/>
      <c r="I730" s="988"/>
      <c r="AG730" s="57"/>
    </row>
    <row r="731" spans="6:33" s="46" customFormat="1" x14ac:dyDescent="0.2">
      <c r="F731" s="980"/>
      <c r="I731" s="988"/>
      <c r="AG731" s="57"/>
    </row>
    <row r="732" spans="6:33" s="46" customFormat="1" x14ac:dyDescent="0.2">
      <c r="F732" s="980"/>
      <c r="I732" s="988"/>
      <c r="AG732" s="57"/>
    </row>
    <row r="733" spans="6:33" s="46" customFormat="1" x14ac:dyDescent="0.2">
      <c r="F733" s="980"/>
      <c r="I733" s="988"/>
      <c r="AG733" s="57"/>
    </row>
    <row r="734" spans="6:33" s="46" customFormat="1" x14ac:dyDescent="0.2">
      <c r="F734" s="980"/>
      <c r="I734" s="988"/>
      <c r="AG734" s="57"/>
    </row>
    <row r="735" spans="6:33" s="46" customFormat="1" x14ac:dyDescent="0.2">
      <c r="F735" s="980"/>
      <c r="I735" s="988"/>
      <c r="AG735" s="57"/>
    </row>
    <row r="736" spans="6:33" s="46" customFormat="1" x14ac:dyDescent="0.2">
      <c r="F736" s="980"/>
      <c r="I736" s="988"/>
      <c r="AG736" s="57"/>
    </row>
    <row r="737" spans="6:33" s="46" customFormat="1" x14ac:dyDescent="0.2">
      <c r="F737" s="980"/>
      <c r="I737" s="988"/>
      <c r="AG737" s="57"/>
    </row>
    <row r="738" spans="6:33" s="46" customFormat="1" x14ac:dyDescent="0.2">
      <c r="F738" s="980"/>
      <c r="I738" s="988"/>
      <c r="AG738" s="57"/>
    </row>
    <row r="739" spans="6:33" s="46" customFormat="1" x14ac:dyDescent="0.2">
      <c r="F739" s="980"/>
      <c r="I739" s="988"/>
      <c r="AG739" s="57"/>
    </row>
    <row r="740" spans="6:33" s="46" customFormat="1" x14ac:dyDescent="0.2">
      <c r="F740" s="980"/>
      <c r="I740" s="988"/>
      <c r="AG740" s="57"/>
    </row>
    <row r="741" spans="6:33" s="46" customFormat="1" x14ac:dyDescent="0.2">
      <c r="F741" s="980"/>
      <c r="I741" s="988"/>
      <c r="AG741" s="57"/>
    </row>
    <row r="742" spans="6:33" s="46" customFormat="1" x14ac:dyDescent="0.2">
      <c r="F742" s="980"/>
      <c r="I742" s="988"/>
      <c r="AG742" s="57"/>
    </row>
    <row r="743" spans="6:33" s="46" customFormat="1" x14ac:dyDescent="0.2">
      <c r="F743" s="980"/>
      <c r="I743" s="988"/>
      <c r="AG743" s="57"/>
    </row>
    <row r="744" spans="6:33" s="46" customFormat="1" x14ac:dyDescent="0.2">
      <c r="F744" s="980"/>
      <c r="I744" s="988"/>
      <c r="AG744" s="57"/>
    </row>
    <row r="745" spans="6:33" s="46" customFormat="1" x14ac:dyDescent="0.2">
      <c r="F745" s="980"/>
      <c r="I745" s="988"/>
      <c r="AG745" s="57"/>
    </row>
    <row r="746" spans="6:33" s="46" customFormat="1" x14ac:dyDescent="0.2">
      <c r="F746" s="980"/>
      <c r="I746" s="988"/>
      <c r="AG746" s="57"/>
    </row>
    <row r="747" spans="6:33" s="46" customFormat="1" x14ac:dyDescent="0.2">
      <c r="F747" s="980"/>
      <c r="I747" s="988"/>
      <c r="AG747" s="57"/>
    </row>
    <row r="748" spans="6:33" s="46" customFormat="1" x14ac:dyDescent="0.2">
      <c r="F748" s="980"/>
      <c r="I748" s="988"/>
      <c r="AG748" s="57"/>
    </row>
    <row r="749" spans="6:33" s="46" customFormat="1" x14ac:dyDescent="0.2">
      <c r="F749" s="980"/>
      <c r="I749" s="988"/>
      <c r="AG749" s="57"/>
    </row>
    <row r="750" spans="6:33" s="46" customFormat="1" x14ac:dyDescent="0.2">
      <c r="F750" s="980"/>
      <c r="I750" s="988"/>
      <c r="AG750" s="57"/>
    </row>
    <row r="751" spans="6:33" s="46" customFormat="1" x14ac:dyDescent="0.2">
      <c r="F751" s="980"/>
      <c r="I751" s="988"/>
      <c r="AG751" s="57"/>
    </row>
    <row r="752" spans="6:33" s="46" customFormat="1" x14ac:dyDescent="0.2">
      <c r="F752" s="980"/>
      <c r="I752" s="988"/>
      <c r="AG752" s="57"/>
    </row>
    <row r="753" spans="6:33" s="46" customFormat="1" x14ac:dyDescent="0.2">
      <c r="F753" s="980"/>
      <c r="I753" s="988"/>
      <c r="AG753" s="57"/>
    </row>
    <row r="754" spans="6:33" s="46" customFormat="1" x14ac:dyDescent="0.2">
      <c r="F754" s="980"/>
      <c r="I754" s="988"/>
      <c r="AG754" s="57"/>
    </row>
    <row r="755" spans="6:33" s="46" customFormat="1" x14ac:dyDescent="0.2">
      <c r="F755" s="980"/>
      <c r="I755" s="988"/>
      <c r="AG755" s="57"/>
    </row>
    <row r="756" spans="6:33" s="46" customFormat="1" x14ac:dyDescent="0.2">
      <c r="F756" s="980"/>
      <c r="I756" s="988"/>
      <c r="AG756" s="57"/>
    </row>
    <row r="757" spans="6:33" s="46" customFormat="1" x14ac:dyDescent="0.2">
      <c r="F757" s="980"/>
      <c r="I757" s="988"/>
      <c r="AG757" s="57"/>
    </row>
    <row r="758" spans="6:33" s="46" customFormat="1" x14ac:dyDescent="0.2">
      <c r="F758" s="980"/>
      <c r="I758" s="988"/>
      <c r="AG758" s="57"/>
    </row>
    <row r="759" spans="6:33" s="46" customFormat="1" x14ac:dyDescent="0.2">
      <c r="F759" s="980"/>
      <c r="I759" s="988"/>
      <c r="AG759" s="57"/>
    </row>
    <row r="760" spans="6:33" s="46" customFormat="1" x14ac:dyDescent="0.2">
      <c r="F760" s="980"/>
      <c r="I760" s="988"/>
      <c r="AG760" s="57"/>
    </row>
    <row r="761" spans="6:33" s="46" customFormat="1" x14ac:dyDescent="0.2">
      <c r="F761" s="980"/>
      <c r="I761" s="988"/>
      <c r="AG761" s="57"/>
    </row>
    <row r="762" spans="6:33" s="46" customFormat="1" x14ac:dyDescent="0.2">
      <c r="F762" s="980"/>
      <c r="I762" s="988"/>
      <c r="AG762" s="57"/>
    </row>
    <row r="763" spans="6:33" s="46" customFormat="1" x14ac:dyDescent="0.2">
      <c r="F763" s="980"/>
      <c r="I763" s="988"/>
      <c r="AG763" s="57"/>
    </row>
    <row r="764" spans="6:33" s="46" customFormat="1" x14ac:dyDescent="0.2">
      <c r="F764" s="980"/>
      <c r="I764" s="988"/>
      <c r="AG764" s="57"/>
    </row>
    <row r="765" spans="6:33" s="46" customFormat="1" x14ac:dyDescent="0.2">
      <c r="F765" s="980"/>
      <c r="I765" s="988"/>
      <c r="AG765" s="57"/>
    </row>
    <row r="766" spans="6:33" s="46" customFormat="1" x14ac:dyDescent="0.2">
      <c r="F766" s="980"/>
      <c r="I766" s="988"/>
      <c r="AG766" s="57"/>
    </row>
    <row r="767" spans="6:33" s="46" customFormat="1" x14ac:dyDescent="0.2">
      <c r="F767" s="980"/>
      <c r="I767" s="988"/>
      <c r="AG767" s="57"/>
    </row>
    <row r="768" spans="6:33" s="46" customFormat="1" x14ac:dyDescent="0.2">
      <c r="F768" s="980"/>
      <c r="I768" s="988"/>
      <c r="AG768" s="57"/>
    </row>
    <row r="769" spans="6:33" s="46" customFormat="1" x14ac:dyDescent="0.2">
      <c r="F769" s="980"/>
      <c r="I769" s="988"/>
      <c r="AG769" s="57"/>
    </row>
    <row r="770" spans="6:33" s="46" customFormat="1" x14ac:dyDescent="0.2">
      <c r="F770" s="980"/>
      <c r="I770" s="988"/>
      <c r="AG770" s="57"/>
    </row>
    <row r="771" spans="6:33" s="46" customFormat="1" x14ac:dyDescent="0.2">
      <c r="F771" s="980"/>
      <c r="I771" s="988"/>
      <c r="AG771" s="57"/>
    </row>
    <row r="772" spans="6:33" s="46" customFormat="1" x14ac:dyDescent="0.2">
      <c r="F772" s="980"/>
      <c r="I772" s="988"/>
      <c r="AG772" s="57"/>
    </row>
    <row r="773" spans="6:33" s="46" customFormat="1" x14ac:dyDescent="0.2">
      <c r="F773" s="980"/>
      <c r="I773" s="988"/>
      <c r="AG773" s="57"/>
    </row>
    <row r="774" spans="6:33" s="46" customFormat="1" x14ac:dyDescent="0.2">
      <c r="F774" s="980"/>
      <c r="I774" s="988"/>
      <c r="AG774" s="57"/>
    </row>
    <row r="775" spans="6:33" s="46" customFormat="1" x14ac:dyDescent="0.2">
      <c r="F775" s="980"/>
      <c r="I775" s="988"/>
      <c r="AG775" s="57"/>
    </row>
    <row r="776" spans="6:33" s="46" customFormat="1" x14ac:dyDescent="0.2">
      <c r="F776" s="980"/>
      <c r="I776" s="988"/>
      <c r="AG776" s="57"/>
    </row>
    <row r="777" spans="6:33" s="46" customFormat="1" x14ac:dyDescent="0.2">
      <c r="F777" s="980"/>
      <c r="I777" s="988"/>
      <c r="AG777" s="57"/>
    </row>
    <row r="778" spans="6:33" s="46" customFormat="1" x14ac:dyDescent="0.2">
      <c r="F778" s="980"/>
      <c r="I778" s="988"/>
      <c r="AG778" s="57"/>
    </row>
    <row r="779" spans="6:33" s="46" customFormat="1" x14ac:dyDescent="0.2">
      <c r="F779" s="980"/>
      <c r="I779" s="988"/>
      <c r="AG779" s="57"/>
    </row>
    <row r="780" spans="6:33" s="46" customFormat="1" x14ac:dyDescent="0.2">
      <c r="F780" s="980"/>
      <c r="I780" s="988"/>
      <c r="AG780" s="57"/>
    </row>
    <row r="781" spans="6:33" s="46" customFormat="1" x14ac:dyDescent="0.2">
      <c r="F781" s="980"/>
      <c r="I781" s="988"/>
      <c r="AG781" s="57"/>
    </row>
    <row r="782" spans="6:33" s="46" customFormat="1" x14ac:dyDescent="0.2">
      <c r="F782" s="980"/>
      <c r="I782" s="988"/>
      <c r="AG782" s="57"/>
    </row>
    <row r="783" spans="6:33" s="46" customFormat="1" x14ac:dyDescent="0.2">
      <c r="F783" s="980"/>
      <c r="I783" s="988"/>
      <c r="AG783" s="57"/>
    </row>
    <row r="784" spans="6:33" s="46" customFormat="1" x14ac:dyDescent="0.2">
      <c r="F784" s="980"/>
      <c r="I784" s="988"/>
      <c r="AG784" s="57"/>
    </row>
    <row r="785" spans="6:33" s="46" customFormat="1" x14ac:dyDescent="0.2">
      <c r="F785" s="980"/>
      <c r="I785" s="988"/>
      <c r="AG785" s="57"/>
    </row>
    <row r="786" spans="6:33" s="46" customFormat="1" x14ac:dyDescent="0.2">
      <c r="F786" s="980"/>
      <c r="I786" s="988"/>
      <c r="AG786" s="57"/>
    </row>
    <row r="787" spans="6:33" s="46" customFormat="1" x14ac:dyDescent="0.2">
      <c r="F787" s="980"/>
      <c r="I787" s="988"/>
      <c r="AG787" s="57"/>
    </row>
    <row r="788" spans="6:33" s="46" customFormat="1" x14ac:dyDescent="0.2">
      <c r="F788" s="980"/>
      <c r="I788" s="988"/>
      <c r="AG788" s="57"/>
    </row>
    <row r="789" spans="6:33" s="46" customFormat="1" x14ac:dyDescent="0.2">
      <c r="F789" s="980"/>
      <c r="I789" s="988"/>
      <c r="AG789" s="57"/>
    </row>
    <row r="790" spans="6:33" s="46" customFormat="1" x14ac:dyDescent="0.2">
      <c r="F790" s="980"/>
      <c r="I790" s="988"/>
      <c r="AG790" s="57"/>
    </row>
    <row r="791" spans="6:33" s="46" customFormat="1" x14ac:dyDescent="0.2">
      <c r="F791" s="980"/>
      <c r="I791" s="988"/>
      <c r="AG791" s="57"/>
    </row>
    <row r="792" spans="6:33" s="46" customFormat="1" x14ac:dyDescent="0.2">
      <c r="F792" s="980"/>
      <c r="I792" s="988"/>
      <c r="AG792" s="57"/>
    </row>
    <row r="793" spans="6:33" s="46" customFormat="1" x14ac:dyDescent="0.2">
      <c r="F793" s="980"/>
      <c r="I793" s="988"/>
      <c r="AG793" s="57"/>
    </row>
    <row r="794" spans="6:33" s="46" customFormat="1" x14ac:dyDescent="0.2">
      <c r="F794" s="980"/>
      <c r="I794" s="988"/>
      <c r="AG794" s="57"/>
    </row>
    <row r="795" spans="6:33" s="46" customFormat="1" x14ac:dyDescent="0.2">
      <c r="F795" s="980"/>
      <c r="I795" s="988"/>
      <c r="AG795" s="57"/>
    </row>
    <row r="796" spans="6:33" s="46" customFormat="1" x14ac:dyDescent="0.2">
      <c r="F796" s="980"/>
      <c r="I796" s="988"/>
      <c r="AG796" s="57"/>
    </row>
    <row r="797" spans="6:33" s="46" customFormat="1" x14ac:dyDescent="0.2">
      <c r="F797" s="980"/>
      <c r="I797" s="988"/>
      <c r="AG797" s="57"/>
    </row>
    <row r="798" spans="6:33" s="46" customFormat="1" x14ac:dyDescent="0.2">
      <c r="F798" s="980"/>
      <c r="I798" s="988"/>
      <c r="AG798" s="57"/>
    </row>
    <row r="799" spans="6:33" s="46" customFormat="1" x14ac:dyDescent="0.2">
      <c r="F799" s="980"/>
      <c r="I799" s="988"/>
      <c r="AG799" s="57"/>
    </row>
    <row r="800" spans="6:33" s="46" customFormat="1" x14ac:dyDescent="0.2">
      <c r="F800" s="980"/>
      <c r="I800" s="988"/>
      <c r="AG800" s="57"/>
    </row>
    <row r="801" spans="6:33" s="46" customFormat="1" x14ac:dyDescent="0.2">
      <c r="F801" s="980"/>
      <c r="I801" s="988"/>
      <c r="AG801" s="57"/>
    </row>
    <row r="802" spans="6:33" s="46" customFormat="1" x14ac:dyDescent="0.2">
      <c r="F802" s="980"/>
      <c r="I802" s="988"/>
      <c r="AG802" s="57"/>
    </row>
    <row r="803" spans="6:33" s="46" customFormat="1" x14ac:dyDescent="0.2">
      <c r="F803" s="980"/>
      <c r="I803" s="988"/>
      <c r="AG803" s="57"/>
    </row>
    <row r="804" spans="6:33" s="46" customFormat="1" x14ac:dyDescent="0.2">
      <c r="F804" s="980"/>
      <c r="I804" s="988"/>
      <c r="AG804" s="57"/>
    </row>
    <row r="805" spans="6:33" s="46" customFormat="1" x14ac:dyDescent="0.2">
      <c r="F805" s="980"/>
      <c r="I805" s="988"/>
      <c r="AG805" s="57"/>
    </row>
    <row r="806" spans="6:33" s="46" customFormat="1" x14ac:dyDescent="0.2">
      <c r="F806" s="980"/>
      <c r="I806" s="988"/>
      <c r="AG806" s="57"/>
    </row>
    <row r="807" spans="6:33" s="46" customFormat="1" x14ac:dyDescent="0.2">
      <c r="F807" s="980"/>
      <c r="I807" s="988"/>
      <c r="AG807" s="57"/>
    </row>
    <row r="808" spans="6:33" s="46" customFormat="1" x14ac:dyDescent="0.2">
      <c r="F808" s="980"/>
      <c r="I808" s="988"/>
      <c r="AG808" s="57"/>
    </row>
    <row r="809" spans="6:33" s="46" customFormat="1" x14ac:dyDescent="0.2">
      <c r="F809" s="980"/>
      <c r="I809" s="988"/>
      <c r="AG809" s="57"/>
    </row>
    <row r="810" spans="6:33" s="46" customFormat="1" x14ac:dyDescent="0.2">
      <c r="F810" s="980"/>
      <c r="I810" s="988"/>
      <c r="AG810" s="57"/>
    </row>
    <row r="811" spans="6:33" s="46" customFormat="1" x14ac:dyDescent="0.2">
      <c r="F811" s="980"/>
      <c r="I811" s="988"/>
      <c r="AG811" s="57"/>
    </row>
    <row r="812" spans="6:33" s="46" customFormat="1" x14ac:dyDescent="0.2">
      <c r="F812" s="980"/>
      <c r="I812" s="988"/>
      <c r="AG812" s="57"/>
    </row>
    <row r="813" spans="6:33" s="46" customFormat="1" x14ac:dyDescent="0.2">
      <c r="F813" s="980"/>
      <c r="I813" s="988"/>
      <c r="AG813" s="57"/>
    </row>
    <row r="814" spans="6:33" s="46" customFormat="1" x14ac:dyDescent="0.2">
      <c r="F814" s="980"/>
      <c r="I814" s="988"/>
      <c r="AG814" s="57"/>
    </row>
    <row r="815" spans="6:33" s="46" customFormat="1" x14ac:dyDescent="0.2">
      <c r="F815" s="980"/>
      <c r="I815" s="988"/>
      <c r="AG815" s="57"/>
    </row>
    <row r="816" spans="6:33" s="46" customFormat="1" x14ac:dyDescent="0.2">
      <c r="F816" s="980"/>
      <c r="I816" s="988"/>
      <c r="AG816" s="57"/>
    </row>
    <row r="817" spans="6:33" s="46" customFormat="1" x14ac:dyDescent="0.2">
      <c r="F817" s="980"/>
      <c r="I817" s="988"/>
      <c r="AG817" s="57"/>
    </row>
    <row r="818" spans="6:33" s="46" customFormat="1" x14ac:dyDescent="0.2">
      <c r="F818" s="980"/>
      <c r="I818" s="988"/>
      <c r="AG818" s="57"/>
    </row>
    <row r="819" spans="6:33" s="46" customFormat="1" x14ac:dyDescent="0.2">
      <c r="F819" s="980"/>
      <c r="I819" s="988"/>
      <c r="AG819" s="57"/>
    </row>
    <row r="820" spans="6:33" s="46" customFormat="1" x14ac:dyDescent="0.2">
      <c r="F820" s="980"/>
      <c r="I820" s="988"/>
      <c r="AG820" s="57"/>
    </row>
    <row r="821" spans="6:33" s="46" customFormat="1" x14ac:dyDescent="0.2">
      <c r="F821" s="980"/>
      <c r="I821" s="988"/>
      <c r="AG821" s="57"/>
    </row>
    <row r="822" spans="6:33" s="46" customFormat="1" x14ac:dyDescent="0.2">
      <c r="F822" s="980"/>
      <c r="I822" s="988"/>
      <c r="AG822" s="57"/>
    </row>
    <row r="823" spans="6:33" s="46" customFormat="1" x14ac:dyDescent="0.2">
      <c r="F823" s="980"/>
      <c r="I823" s="988"/>
      <c r="AG823" s="57"/>
    </row>
    <row r="824" spans="6:33" s="46" customFormat="1" x14ac:dyDescent="0.2">
      <c r="F824" s="980"/>
      <c r="I824" s="988"/>
      <c r="AG824" s="57"/>
    </row>
    <row r="825" spans="6:33" s="46" customFormat="1" x14ac:dyDescent="0.2">
      <c r="F825" s="980"/>
      <c r="I825" s="988"/>
      <c r="AG825" s="57"/>
    </row>
    <row r="826" spans="6:33" s="46" customFormat="1" x14ac:dyDescent="0.2">
      <c r="F826" s="980"/>
      <c r="I826" s="988"/>
      <c r="AG826" s="57"/>
    </row>
    <row r="827" spans="6:33" s="46" customFormat="1" x14ac:dyDescent="0.2">
      <c r="F827" s="980"/>
      <c r="I827" s="988"/>
      <c r="AG827" s="57"/>
    </row>
    <row r="828" spans="6:33" s="46" customFormat="1" x14ac:dyDescent="0.2">
      <c r="F828" s="980"/>
      <c r="I828" s="988"/>
      <c r="AG828" s="57"/>
    </row>
    <row r="829" spans="6:33" s="46" customFormat="1" x14ac:dyDescent="0.2">
      <c r="F829" s="980"/>
      <c r="I829" s="988"/>
      <c r="AG829" s="57"/>
    </row>
    <row r="830" spans="6:33" s="46" customFormat="1" x14ac:dyDescent="0.2">
      <c r="F830" s="980"/>
      <c r="I830" s="988"/>
      <c r="AG830" s="57"/>
    </row>
    <row r="831" spans="6:33" s="46" customFormat="1" x14ac:dyDescent="0.2">
      <c r="F831" s="980"/>
      <c r="I831" s="988"/>
      <c r="AG831" s="57"/>
    </row>
    <row r="832" spans="6:33" s="46" customFormat="1" x14ac:dyDescent="0.2">
      <c r="F832" s="980"/>
      <c r="I832" s="988"/>
      <c r="AG832" s="57"/>
    </row>
    <row r="833" spans="6:33" s="46" customFormat="1" x14ac:dyDescent="0.2">
      <c r="F833" s="980"/>
      <c r="I833" s="988"/>
      <c r="AG833" s="57"/>
    </row>
    <row r="834" spans="6:33" s="46" customFormat="1" x14ac:dyDescent="0.2">
      <c r="F834" s="980"/>
      <c r="I834" s="988"/>
      <c r="AG834" s="57"/>
    </row>
    <row r="835" spans="6:33" s="46" customFormat="1" x14ac:dyDescent="0.2">
      <c r="F835" s="980"/>
      <c r="I835" s="988"/>
      <c r="AG835" s="57"/>
    </row>
    <row r="836" spans="6:33" s="46" customFormat="1" x14ac:dyDescent="0.2">
      <c r="F836" s="980"/>
      <c r="I836" s="988"/>
      <c r="AG836" s="57"/>
    </row>
    <row r="837" spans="6:33" s="46" customFormat="1" x14ac:dyDescent="0.2">
      <c r="F837" s="980"/>
      <c r="I837" s="988"/>
      <c r="AG837" s="57"/>
    </row>
    <row r="838" spans="6:33" s="46" customFormat="1" x14ac:dyDescent="0.2">
      <c r="F838" s="980"/>
      <c r="I838" s="988"/>
      <c r="AG838" s="57"/>
    </row>
    <row r="839" spans="6:33" s="46" customFormat="1" x14ac:dyDescent="0.2">
      <c r="F839" s="980"/>
      <c r="I839" s="988"/>
      <c r="AG839" s="57"/>
    </row>
    <row r="840" spans="6:33" s="46" customFormat="1" x14ac:dyDescent="0.2">
      <c r="F840" s="980"/>
      <c r="I840" s="988"/>
      <c r="AG840" s="57"/>
    </row>
    <row r="841" spans="6:33" s="46" customFormat="1" x14ac:dyDescent="0.2">
      <c r="F841" s="980"/>
      <c r="I841" s="988"/>
      <c r="AG841" s="57"/>
    </row>
    <row r="842" spans="6:33" s="46" customFormat="1" x14ac:dyDescent="0.2">
      <c r="F842" s="980"/>
      <c r="I842" s="988"/>
      <c r="AG842" s="57"/>
    </row>
    <row r="843" spans="6:33" s="46" customFormat="1" x14ac:dyDescent="0.2">
      <c r="F843" s="980"/>
      <c r="I843" s="988"/>
      <c r="AG843" s="57"/>
    </row>
    <row r="844" spans="6:33" s="46" customFormat="1" x14ac:dyDescent="0.2">
      <c r="F844" s="980"/>
      <c r="I844" s="988"/>
      <c r="AG844" s="57"/>
    </row>
    <row r="845" spans="6:33" s="46" customFormat="1" x14ac:dyDescent="0.2">
      <c r="F845" s="980"/>
      <c r="I845" s="988"/>
      <c r="AG845" s="57"/>
    </row>
    <row r="846" spans="6:33" s="46" customFormat="1" x14ac:dyDescent="0.2">
      <c r="F846" s="980"/>
      <c r="I846" s="988"/>
      <c r="AG846" s="57"/>
    </row>
    <row r="847" spans="6:33" s="46" customFormat="1" x14ac:dyDescent="0.2">
      <c r="F847" s="980"/>
      <c r="I847" s="988"/>
      <c r="AG847" s="57"/>
    </row>
    <row r="848" spans="6:33" s="46" customFormat="1" x14ac:dyDescent="0.2">
      <c r="F848" s="980"/>
      <c r="I848" s="988"/>
      <c r="AG848" s="57"/>
    </row>
    <row r="849" spans="6:33" s="46" customFormat="1" x14ac:dyDescent="0.2">
      <c r="F849" s="980"/>
      <c r="I849" s="988"/>
      <c r="AG849" s="57"/>
    </row>
    <row r="850" spans="6:33" s="46" customFormat="1" x14ac:dyDescent="0.2">
      <c r="F850" s="980"/>
      <c r="I850" s="988"/>
      <c r="AG850" s="57"/>
    </row>
    <row r="851" spans="6:33" s="46" customFormat="1" x14ac:dyDescent="0.2">
      <c r="F851" s="980"/>
      <c r="I851" s="988"/>
      <c r="AG851" s="57"/>
    </row>
    <row r="852" spans="6:33" s="46" customFormat="1" x14ac:dyDescent="0.2">
      <c r="F852" s="980"/>
      <c r="I852" s="988"/>
      <c r="AG852" s="57"/>
    </row>
    <row r="853" spans="6:33" s="46" customFormat="1" x14ac:dyDescent="0.2">
      <c r="F853" s="980"/>
      <c r="I853" s="988"/>
      <c r="AG853" s="57"/>
    </row>
    <row r="854" spans="6:33" s="46" customFormat="1" x14ac:dyDescent="0.2">
      <c r="F854" s="980"/>
      <c r="I854" s="988"/>
      <c r="AG854" s="57"/>
    </row>
    <row r="855" spans="6:33" s="46" customFormat="1" x14ac:dyDescent="0.2">
      <c r="F855" s="980"/>
      <c r="I855" s="988"/>
      <c r="AG855" s="57"/>
    </row>
    <row r="856" spans="6:33" s="46" customFormat="1" x14ac:dyDescent="0.2">
      <c r="F856" s="980"/>
      <c r="I856" s="988"/>
      <c r="AG856" s="57"/>
    </row>
    <row r="857" spans="6:33" s="46" customFormat="1" x14ac:dyDescent="0.2">
      <c r="F857" s="980"/>
      <c r="I857" s="988"/>
      <c r="AG857" s="57"/>
    </row>
    <row r="858" spans="6:33" s="46" customFormat="1" x14ac:dyDescent="0.2">
      <c r="F858" s="980"/>
      <c r="I858" s="988"/>
      <c r="AG858" s="57"/>
    </row>
    <row r="859" spans="6:33" s="46" customFormat="1" x14ac:dyDescent="0.2">
      <c r="F859" s="980"/>
      <c r="I859" s="988"/>
      <c r="AG859" s="57"/>
    </row>
    <row r="860" spans="6:33" s="46" customFormat="1" x14ac:dyDescent="0.2">
      <c r="F860" s="980"/>
      <c r="I860" s="988"/>
      <c r="AG860" s="57"/>
    </row>
    <row r="861" spans="6:33" s="46" customFormat="1" x14ac:dyDescent="0.2">
      <c r="F861" s="980"/>
      <c r="I861" s="988"/>
      <c r="AG861" s="57"/>
    </row>
    <row r="862" spans="6:33" s="46" customFormat="1" x14ac:dyDescent="0.2">
      <c r="F862" s="980"/>
      <c r="I862" s="988"/>
      <c r="AG862" s="57"/>
    </row>
    <row r="863" spans="6:33" s="46" customFormat="1" x14ac:dyDescent="0.2">
      <c r="F863" s="980"/>
      <c r="I863" s="988"/>
      <c r="AG863" s="57"/>
    </row>
    <row r="864" spans="6:33" s="46" customFormat="1" x14ac:dyDescent="0.2">
      <c r="F864" s="980"/>
      <c r="I864" s="988"/>
      <c r="AG864" s="57"/>
    </row>
    <row r="865" spans="6:33" s="46" customFormat="1" x14ac:dyDescent="0.2">
      <c r="F865" s="980"/>
      <c r="I865" s="988"/>
      <c r="AG865" s="57"/>
    </row>
    <row r="866" spans="6:33" s="46" customFormat="1" x14ac:dyDescent="0.2">
      <c r="F866" s="980"/>
      <c r="I866" s="988"/>
      <c r="AG866" s="57"/>
    </row>
    <row r="867" spans="6:33" s="46" customFormat="1" x14ac:dyDescent="0.2">
      <c r="F867" s="980"/>
      <c r="I867" s="988"/>
      <c r="AG867" s="57"/>
    </row>
    <row r="868" spans="6:33" s="46" customFormat="1" x14ac:dyDescent="0.2">
      <c r="F868" s="980"/>
      <c r="I868" s="988"/>
      <c r="AG868" s="57"/>
    </row>
    <row r="869" spans="6:33" s="46" customFormat="1" x14ac:dyDescent="0.2">
      <c r="F869" s="980"/>
      <c r="I869" s="988"/>
      <c r="AG869" s="57"/>
    </row>
    <row r="870" spans="6:33" s="46" customFormat="1" x14ac:dyDescent="0.2">
      <c r="F870" s="980"/>
      <c r="I870" s="988"/>
      <c r="AG870" s="57"/>
    </row>
    <row r="871" spans="6:33" s="46" customFormat="1" x14ac:dyDescent="0.2">
      <c r="F871" s="980"/>
      <c r="I871" s="988"/>
      <c r="AG871" s="57"/>
    </row>
    <row r="872" spans="6:33" s="46" customFormat="1" x14ac:dyDescent="0.2">
      <c r="F872" s="980"/>
      <c r="I872" s="988"/>
      <c r="AG872" s="57"/>
    </row>
    <row r="873" spans="6:33" s="46" customFormat="1" x14ac:dyDescent="0.2">
      <c r="F873" s="980"/>
      <c r="I873" s="988"/>
      <c r="AG873" s="57"/>
    </row>
    <row r="874" spans="6:33" s="46" customFormat="1" x14ac:dyDescent="0.2">
      <c r="F874" s="980"/>
      <c r="I874" s="988"/>
      <c r="AG874" s="57"/>
    </row>
    <row r="875" spans="6:33" s="46" customFormat="1" x14ac:dyDescent="0.2">
      <c r="F875" s="980"/>
      <c r="I875" s="988"/>
      <c r="AG875" s="57"/>
    </row>
    <row r="876" spans="6:33" s="46" customFormat="1" x14ac:dyDescent="0.2">
      <c r="F876" s="980"/>
      <c r="I876" s="988"/>
      <c r="AG876" s="57"/>
    </row>
    <row r="877" spans="6:33" s="46" customFormat="1" x14ac:dyDescent="0.2">
      <c r="F877" s="980"/>
      <c r="I877" s="988"/>
      <c r="AG877" s="57"/>
    </row>
    <row r="878" spans="6:33" s="46" customFormat="1" x14ac:dyDescent="0.2">
      <c r="F878" s="980"/>
      <c r="I878" s="988"/>
      <c r="AG878" s="57"/>
    </row>
    <row r="879" spans="6:33" s="46" customFormat="1" x14ac:dyDescent="0.2">
      <c r="F879" s="980"/>
      <c r="I879" s="988"/>
      <c r="AG879" s="57"/>
    </row>
    <row r="880" spans="6:33" s="46" customFormat="1" x14ac:dyDescent="0.2">
      <c r="F880" s="980"/>
      <c r="I880" s="988"/>
      <c r="AG880" s="57"/>
    </row>
    <row r="881" spans="6:33" s="46" customFormat="1" x14ac:dyDescent="0.2">
      <c r="F881" s="980"/>
      <c r="I881" s="988"/>
      <c r="AG881" s="57"/>
    </row>
    <row r="882" spans="6:33" s="46" customFormat="1" x14ac:dyDescent="0.2">
      <c r="F882" s="980"/>
      <c r="I882" s="988"/>
      <c r="AG882" s="57"/>
    </row>
    <row r="883" spans="6:33" s="46" customFormat="1" x14ac:dyDescent="0.2">
      <c r="F883" s="980"/>
      <c r="I883" s="988"/>
      <c r="AG883" s="57"/>
    </row>
    <row r="884" spans="6:33" s="46" customFormat="1" x14ac:dyDescent="0.2">
      <c r="F884" s="980"/>
      <c r="I884" s="988"/>
      <c r="AG884" s="57"/>
    </row>
    <row r="885" spans="6:33" s="46" customFormat="1" x14ac:dyDescent="0.2">
      <c r="F885" s="980"/>
      <c r="I885" s="988"/>
      <c r="AG885" s="57"/>
    </row>
    <row r="886" spans="6:33" s="46" customFormat="1" x14ac:dyDescent="0.2">
      <c r="F886" s="980"/>
      <c r="I886" s="988"/>
      <c r="AG886" s="57"/>
    </row>
    <row r="887" spans="6:33" s="46" customFormat="1" x14ac:dyDescent="0.2">
      <c r="F887" s="980"/>
      <c r="I887" s="988"/>
      <c r="AG887" s="57"/>
    </row>
    <row r="888" spans="6:33" s="46" customFormat="1" x14ac:dyDescent="0.2">
      <c r="F888" s="980"/>
      <c r="I888" s="988"/>
      <c r="AG888" s="57"/>
    </row>
    <row r="889" spans="6:33" s="46" customFormat="1" x14ac:dyDescent="0.2">
      <c r="F889" s="980"/>
      <c r="I889" s="988"/>
      <c r="AG889" s="57"/>
    </row>
    <row r="890" spans="6:33" s="46" customFormat="1" x14ac:dyDescent="0.2">
      <c r="F890" s="980"/>
      <c r="I890" s="988"/>
      <c r="AG890" s="57"/>
    </row>
    <row r="891" spans="6:33" s="46" customFormat="1" x14ac:dyDescent="0.2">
      <c r="F891" s="980"/>
      <c r="I891" s="988"/>
      <c r="AG891" s="57"/>
    </row>
    <row r="892" spans="6:33" s="46" customFormat="1" x14ac:dyDescent="0.2">
      <c r="F892" s="980"/>
      <c r="I892" s="988"/>
      <c r="AG892" s="57"/>
    </row>
    <row r="893" spans="6:33" s="46" customFormat="1" x14ac:dyDescent="0.2">
      <c r="F893" s="980"/>
      <c r="I893" s="988"/>
      <c r="AG893" s="57"/>
    </row>
    <row r="894" spans="6:33" s="46" customFormat="1" x14ac:dyDescent="0.2">
      <c r="F894" s="980"/>
      <c r="I894" s="988"/>
      <c r="AG894" s="57"/>
    </row>
    <row r="895" spans="6:33" s="46" customFormat="1" x14ac:dyDescent="0.2">
      <c r="F895" s="980"/>
      <c r="I895" s="988"/>
      <c r="AG895" s="57"/>
    </row>
    <row r="896" spans="6:33" s="46" customFormat="1" x14ac:dyDescent="0.2">
      <c r="F896" s="980"/>
      <c r="I896" s="988"/>
      <c r="AG896" s="57"/>
    </row>
    <row r="897" spans="6:33" s="46" customFormat="1" x14ac:dyDescent="0.2">
      <c r="F897" s="980"/>
      <c r="I897" s="988"/>
      <c r="AG897" s="57"/>
    </row>
    <row r="898" spans="6:33" s="46" customFormat="1" x14ac:dyDescent="0.2">
      <c r="F898" s="980"/>
      <c r="I898" s="988"/>
      <c r="AG898" s="57"/>
    </row>
    <row r="899" spans="6:33" s="46" customFormat="1" x14ac:dyDescent="0.2">
      <c r="F899" s="980"/>
      <c r="I899" s="988"/>
      <c r="AG899" s="57"/>
    </row>
    <row r="900" spans="6:33" s="46" customFormat="1" x14ac:dyDescent="0.2">
      <c r="F900" s="980"/>
      <c r="I900" s="988"/>
      <c r="AG900" s="57"/>
    </row>
    <row r="901" spans="6:33" s="46" customFormat="1" x14ac:dyDescent="0.2">
      <c r="F901" s="980"/>
      <c r="I901" s="988"/>
      <c r="AG901" s="57"/>
    </row>
    <row r="902" spans="6:33" s="46" customFormat="1" x14ac:dyDescent="0.2">
      <c r="F902" s="980"/>
      <c r="I902" s="988"/>
      <c r="AG902" s="57"/>
    </row>
    <row r="903" spans="6:33" s="46" customFormat="1" x14ac:dyDescent="0.2">
      <c r="F903" s="980"/>
      <c r="I903" s="988"/>
      <c r="AG903" s="57"/>
    </row>
    <row r="904" spans="6:33" s="46" customFormat="1" x14ac:dyDescent="0.2">
      <c r="F904" s="980"/>
      <c r="I904" s="988"/>
      <c r="AG904" s="57"/>
    </row>
    <row r="905" spans="6:33" s="46" customFormat="1" x14ac:dyDescent="0.2">
      <c r="F905" s="980"/>
      <c r="I905" s="988"/>
      <c r="AG905" s="57"/>
    </row>
    <row r="906" spans="6:33" s="46" customFormat="1" x14ac:dyDescent="0.2">
      <c r="F906" s="980"/>
      <c r="I906" s="988"/>
      <c r="AG906" s="57"/>
    </row>
    <row r="907" spans="6:33" s="46" customFormat="1" x14ac:dyDescent="0.2">
      <c r="F907" s="980"/>
      <c r="I907" s="988"/>
      <c r="AG907" s="57"/>
    </row>
    <row r="908" spans="6:33" s="46" customFormat="1" x14ac:dyDescent="0.2">
      <c r="F908" s="980"/>
      <c r="I908" s="988"/>
      <c r="AG908" s="57"/>
    </row>
    <row r="909" spans="6:33" s="46" customFormat="1" x14ac:dyDescent="0.2">
      <c r="F909" s="980"/>
      <c r="I909" s="988"/>
      <c r="AG909" s="57"/>
    </row>
    <row r="910" spans="6:33" s="46" customFormat="1" x14ac:dyDescent="0.2">
      <c r="F910" s="980"/>
      <c r="I910" s="988"/>
      <c r="AG910" s="57"/>
    </row>
    <row r="911" spans="6:33" s="46" customFormat="1" x14ac:dyDescent="0.2">
      <c r="F911" s="980"/>
      <c r="I911" s="988"/>
      <c r="AG911" s="57"/>
    </row>
    <row r="912" spans="6:33" s="46" customFormat="1" x14ac:dyDescent="0.2">
      <c r="F912" s="980"/>
      <c r="I912" s="988"/>
      <c r="AG912" s="57"/>
    </row>
    <row r="913" spans="6:33" s="46" customFormat="1" x14ac:dyDescent="0.2">
      <c r="F913" s="980"/>
      <c r="I913" s="988"/>
      <c r="AG913" s="57"/>
    </row>
    <row r="914" spans="6:33" s="46" customFormat="1" x14ac:dyDescent="0.2">
      <c r="F914" s="980"/>
      <c r="I914" s="988"/>
      <c r="AG914" s="57"/>
    </row>
    <row r="915" spans="6:33" s="46" customFormat="1" x14ac:dyDescent="0.2">
      <c r="F915" s="980"/>
      <c r="I915" s="988"/>
      <c r="AG915" s="57"/>
    </row>
    <row r="916" spans="6:33" s="46" customFormat="1" x14ac:dyDescent="0.2">
      <c r="F916" s="980"/>
      <c r="I916" s="988"/>
      <c r="AG916" s="57"/>
    </row>
    <row r="917" spans="6:33" s="46" customFormat="1" x14ac:dyDescent="0.2">
      <c r="F917" s="980"/>
      <c r="I917" s="988"/>
      <c r="AG917" s="57"/>
    </row>
    <row r="918" spans="6:33" s="46" customFormat="1" x14ac:dyDescent="0.2">
      <c r="F918" s="980"/>
      <c r="I918" s="988"/>
      <c r="AG918" s="57"/>
    </row>
    <row r="919" spans="6:33" s="46" customFormat="1" x14ac:dyDescent="0.2">
      <c r="F919" s="980"/>
      <c r="I919" s="988"/>
      <c r="AG919" s="57"/>
    </row>
    <row r="920" spans="6:33" s="46" customFormat="1" x14ac:dyDescent="0.2">
      <c r="F920" s="980"/>
      <c r="I920" s="988"/>
      <c r="AG920" s="57"/>
    </row>
    <row r="921" spans="6:33" s="46" customFormat="1" x14ac:dyDescent="0.2">
      <c r="F921" s="980"/>
      <c r="I921" s="988"/>
      <c r="AG921" s="57"/>
    </row>
    <row r="922" spans="6:33" s="46" customFormat="1" x14ac:dyDescent="0.2">
      <c r="F922" s="980"/>
      <c r="I922" s="988"/>
      <c r="AG922" s="57"/>
    </row>
    <row r="923" spans="6:33" s="46" customFormat="1" x14ac:dyDescent="0.2">
      <c r="F923" s="980"/>
      <c r="I923" s="988"/>
      <c r="AG923" s="57"/>
    </row>
    <row r="924" spans="6:33" s="46" customFormat="1" x14ac:dyDescent="0.2">
      <c r="F924" s="980"/>
      <c r="I924" s="988"/>
      <c r="AG924" s="57"/>
    </row>
    <row r="925" spans="6:33" s="46" customFormat="1" x14ac:dyDescent="0.2">
      <c r="F925" s="980"/>
      <c r="I925" s="988"/>
      <c r="AG925" s="57"/>
    </row>
    <row r="926" spans="6:33" s="46" customFormat="1" x14ac:dyDescent="0.2">
      <c r="F926" s="980"/>
      <c r="I926" s="988"/>
      <c r="AG926" s="57"/>
    </row>
    <row r="927" spans="6:33" s="46" customFormat="1" x14ac:dyDescent="0.2">
      <c r="F927" s="980"/>
      <c r="I927" s="988"/>
      <c r="AG927" s="57"/>
    </row>
    <row r="928" spans="6:33" s="46" customFormat="1" x14ac:dyDescent="0.2">
      <c r="F928" s="980"/>
      <c r="I928" s="988"/>
      <c r="AG928" s="57"/>
    </row>
    <row r="929" spans="6:33" s="46" customFormat="1" x14ac:dyDescent="0.2">
      <c r="F929" s="980"/>
      <c r="I929" s="988"/>
      <c r="AG929" s="57"/>
    </row>
    <row r="930" spans="6:33" s="46" customFormat="1" x14ac:dyDescent="0.2">
      <c r="F930" s="980"/>
      <c r="I930" s="988"/>
      <c r="AG930" s="57"/>
    </row>
    <row r="931" spans="6:33" s="46" customFormat="1" x14ac:dyDescent="0.2">
      <c r="F931" s="980"/>
      <c r="I931" s="988"/>
      <c r="AG931" s="57"/>
    </row>
    <row r="932" spans="6:33" s="46" customFormat="1" x14ac:dyDescent="0.2">
      <c r="F932" s="980"/>
      <c r="I932" s="988"/>
      <c r="AG932" s="57"/>
    </row>
    <row r="933" spans="6:33" s="46" customFormat="1" x14ac:dyDescent="0.2">
      <c r="F933" s="980"/>
      <c r="I933" s="988"/>
      <c r="AG933" s="57"/>
    </row>
    <row r="934" spans="6:33" s="46" customFormat="1" x14ac:dyDescent="0.2">
      <c r="F934" s="980"/>
      <c r="I934" s="988"/>
      <c r="AG934" s="57"/>
    </row>
    <row r="935" spans="6:33" s="46" customFormat="1" x14ac:dyDescent="0.2">
      <c r="F935" s="980"/>
      <c r="I935" s="988"/>
      <c r="AG935" s="57"/>
    </row>
    <row r="936" spans="6:33" s="46" customFormat="1" x14ac:dyDescent="0.2">
      <c r="F936" s="980"/>
      <c r="I936" s="988"/>
      <c r="AG936" s="57"/>
    </row>
    <row r="937" spans="6:33" s="46" customFormat="1" x14ac:dyDescent="0.2">
      <c r="F937" s="980"/>
      <c r="I937" s="988"/>
      <c r="AG937" s="57"/>
    </row>
    <row r="938" spans="6:33" s="46" customFormat="1" x14ac:dyDescent="0.2">
      <c r="F938" s="980"/>
      <c r="I938" s="988"/>
      <c r="AG938" s="57"/>
    </row>
    <row r="939" spans="6:33" s="46" customFormat="1" x14ac:dyDescent="0.2">
      <c r="F939" s="980"/>
      <c r="I939" s="988"/>
      <c r="AG939" s="57"/>
    </row>
    <row r="940" spans="6:33" s="46" customFormat="1" x14ac:dyDescent="0.2">
      <c r="F940" s="980"/>
      <c r="I940" s="988"/>
      <c r="AG940" s="57"/>
    </row>
    <row r="941" spans="6:33" s="46" customFormat="1" x14ac:dyDescent="0.2">
      <c r="F941" s="980"/>
      <c r="I941" s="988"/>
      <c r="AG941" s="57"/>
    </row>
    <row r="942" spans="6:33" s="46" customFormat="1" x14ac:dyDescent="0.2">
      <c r="F942" s="980"/>
      <c r="I942" s="988"/>
      <c r="AG942" s="57"/>
    </row>
    <row r="943" spans="6:33" s="46" customFormat="1" x14ac:dyDescent="0.2">
      <c r="F943" s="980"/>
      <c r="I943" s="988"/>
      <c r="AG943" s="57"/>
    </row>
    <row r="944" spans="6:33" s="46" customFormat="1" x14ac:dyDescent="0.2">
      <c r="F944" s="980"/>
      <c r="I944" s="988"/>
      <c r="AG944" s="57"/>
    </row>
    <row r="945" spans="6:33" s="46" customFormat="1" x14ac:dyDescent="0.2">
      <c r="F945" s="980"/>
      <c r="I945" s="988"/>
      <c r="AG945" s="57"/>
    </row>
    <row r="946" spans="6:33" s="46" customFormat="1" x14ac:dyDescent="0.2">
      <c r="F946" s="980"/>
      <c r="I946" s="988"/>
      <c r="AG946" s="57"/>
    </row>
    <row r="947" spans="6:33" s="46" customFormat="1" x14ac:dyDescent="0.2">
      <c r="F947" s="980"/>
      <c r="I947" s="988"/>
      <c r="AG947" s="57"/>
    </row>
    <row r="948" spans="6:33" s="46" customFormat="1" x14ac:dyDescent="0.2">
      <c r="F948" s="980"/>
      <c r="I948" s="988"/>
      <c r="AG948" s="57"/>
    </row>
    <row r="949" spans="6:33" s="46" customFormat="1" x14ac:dyDescent="0.2">
      <c r="F949" s="980"/>
      <c r="I949" s="988"/>
      <c r="AG949" s="57"/>
    </row>
    <row r="950" spans="6:33" s="46" customFormat="1" x14ac:dyDescent="0.2">
      <c r="F950" s="980"/>
      <c r="I950" s="988"/>
      <c r="AG950" s="57"/>
    </row>
    <row r="951" spans="6:33" s="46" customFormat="1" x14ac:dyDescent="0.2">
      <c r="F951" s="980"/>
      <c r="I951" s="988"/>
      <c r="AG951" s="57"/>
    </row>
    <row r="952" spans="6:33" s="46" customFormat="1" x14ac:dyDescent="0.2">
      <c r="F952" s="980"/>
      <c r="I952" s="988"/>
      <c r="AG952" s="57"/>
    </row>
    <row r="953" spans="6:33" s="46" customFormat="1" x14ac:dyDescent="0.2">
      <c r="F953" s="980"/>
      <c r="I953" s="988"/>
      <c r="AG953" s="57"/>
    </row>
    <row r="954" spans="6:33" s="46" customFormat="1" x14ac:dyDescent="0.2">
      <c r="F954" s="980"/>
      <c r="I954" s="988"/>
      <c r="AG954" s="57"/>
    </row>
    <row r="955" spans="6:33" s="46" customFormat="1" x14ac:dyDescent="0.2">
      <c r="F955" s="980"/>
      <c r="I955" s="988"/>
      <c r="AG955" s="57"/>
    </row>
    <row r="956" spans="6:33" s="46" customFormat="1" x14ac:dyDescent="0.2">
      <c r="F956" s="980"/>
      <c r="I956" s="988"/>
      <c r="AG956" s="57"/>
    </row>
    <row r="957" spans="6:33" s="46" customFormat="1" x14ac:dyDescent="0.2">
      <c r="F957" s="980"/>
      <c r="I957" s="988"/>
      <c r="AG957" s="57"/>
    </row>
    <row r="958" spans="6:33" s="46" customFormat="1" x14ac:dyDescent="0.2">
      <c r="F958" s="980"/>
      <c r="I958" s="988"/>
      <c r="AG958" s="57"/>
    </row>
    <row r="959" spans="6:33" s="46" customFormat="1" x14ac:dyDescent="0.2">
      <c r="F959" s="980"/>
      <c r="I959" s="988"/>
      <c r="AG959" s="57"/>
    </row>
    <row r="960" spans="6:33" s="46" customFormat="1" x14ac:dyDescent="0.2">
      <c r="F960" s="980"/>
      <c r="I960" s="988"/>
      <c r="AG960" s="57"/>
    </row>
    <row r="961" spans="6:33" s="46" customFormat="1" x14ac:dyDescent="0.2">
      <c r="F961" s="980"/>
      <c r="I961" s="988"/>
      <c r="AG961" s="57"/>
    </row>
    <row r="962" spans="6:33" s="46" customFormat="1" x14ac:dyDescent="0.2">
      <c r="F962" s="980"/>
      <c r="I962" s="988"/>
      <c r="AG962" s="57"/>
    </row>
    <row r="963" spans="6:33" s="46" customFormat="1" x14ac:dyDescent="0.2">
      <c r="F963" s="980"/>
      <c r="I963" s="988"/>
      <c r="AG963" s="57"/>
    </row>
    <row r="964" spans="6:33" s="46" customFormat="1" x14ac:dyDescent="0.2">
      <c r="F964" s="980"/>
      <c r="I964" s="988"/>
      <c r="AG964" s="57"/>
    </row>
    <row r="965" spans="6:33" s="46" customFormat="1" x14ac:dyDescent="0.2">
      <c r="F965" s="980"/>
      <c r="I965" s="988"/>
      <c r="AG965" s="57"/>
    </row>
    <row r="966" spans="6:33" s="46" customFormat="1" x14ac:dyDescent="0.2">
      <c r="F966" s="980"/>
      <c r="I966" s="988"/>
      <c r="AG966" s="57"/>
    </row>
    <row r="967" spans="6:33" s="46" customFormat="1" x14ac:dyDescent="0.2">
      <c r="F967" s="980"/>
      <c r="I967" s="988"/>
      <c r="AG967" s="57"/>
    </row>
    <row r="968" spans="6:33" s="46" customFormat="1" x14ac:dyDescent="0.2">
      <c r="F968" s="980"/>
      <c r="I968" s="988"/>
      <c r="AG968" s="57"/>
    </row>
    <row r="969" spans="6:33" s="46" customFormat="1" x14ac:dyDescent="0.2">
      <c r="F969" s="980"/>
      <c r="I969" s="988"/>
      <c r="AG969" s="57"/>
    </row>
    <row r="970" spans="6:33" s="46" customFormat="1" x14ac:dyDescent="0.2">
      <c r="F970" s="980"/>
      <c r="I970" s="988"/>
      <c r="AG970" s="57"/>
    </row>
    <row r="971" spans="6:33" s="46" customFormat="1" x14ac:dyDescent="0.2">
      <c r="F971" s="980"/>
      <c r="I971" s="988"/>
      <c r="AG971" s="57"/>
    </row>
    <row r="972" spans="6:33" s="46" customFormat="1" x14ac:dyDescent="0.2">
      <c r="F972" s="980"/>
      <c r="I972" s="988"/>
      <c r="AG972" s="57"/>
    </row>
    <row r="973" spans="6:33" s="46" customFormat="1" x14ac:dyDescent="0.2">
      <c r="F973" s="980"/>
      <c r="I973" s="988"/>
      <c r="AG973" s="57"/>
    </row>
    <row r="974" spans="6:33" s="46" customFormat="1" x14ac:dyDescent="0.2">
      <c r="F974" s="980"/>
      <c r="I974" s="988"/>
      <c r="AG974" s="57"/>
    </row>
    <row r="975" spans="6:33" s="46" customFormat="1" x14ac:dyDescent="0.2">
      <c r="F975" s="980"/>
      <c r="I975" s="988"/>
      <c r="AG975" s="57"/>
    </row>
    <row r="976" spans="6:33" s="46" customFormat="1" x14ac:dyDescent="0.2">
      <c r="F976" s="980"/>
      <c r="I976" s="988"/>
      <c r="AG976" s="57"/>
    </row>
    <row r="977" spans="6:33" s="46" customFormat="1" x14ac:dyDescent="0.2">
      <c r="F977" s="980"/>
      <c r="I977" s="988"/>
      <c r="AG977" s="57"/>
    </row>
    <row r="978" spans="6:33" s="46" customFormat="1" x14ac:dyDescent="0.2">
      <c r="F978" s="980"/>
      <c r="I978" s="988"/>
      <c r="AG978" s="57"/>
    </row>
    <row r="979" spans="6:33" s="46" customFormat="1" x14ac:dyDescent="0.2">
      <c r="F979" s="980"/>
      <c r="I979" s="988"/>
      <c r="AG979" s="57"/>
    </row>
    <row r="980" spans="6:33" s="46" customFormat="1" x14ac:dyDescent="0.2">
      <c r="F980" s="980"/>
      <c r="I980" s="988"/>
      <c r="AG980" s="57"/>
    </row>
    <row r="981" spans="6:33" s="46" customFormat="1" x14ac:dyDescent="0.2">
      <c r="F981" s="980"/>
      <c r="I981" s="988"/>
      <c r="AG981" s="57"/>
    </row>
    <row r="982" spans="6:33" s="46" customFormat="1" x14ac:dyDescent="0.2">
      <c r="F982" s="980"/>
      <c r="I982" s="988"/>
      <c r="AG982" s="57"/>
    </row>
    <row r="983" spans="6:33" s="46" customFormat="1" x14ac:dyDescent="0.2">
      <c r="F983" s="980"/>
      <c r="I983" s="988"/>
      <c r="AG983" s="57"/>
    </row>
    <row r="984" spans="6:33" s="46" customFormat="1" x14ac:dyDescent="0.2">
      <c r="F984" s="980"/>
      <c r="I984" s="988"/>
      <c r="AG984" s="57"/>
    </row>
    <row r="985" spans="6:33" s="46" customFormat="1" x14ac:dyDescent="0.2">
      <c r="F985" s="980"/>
      <c r="I985" s="988"/>
      <c r="AG985" s="57"/>
    </row>
    <row r="986" spans="6:33" s="46" customFormat="1" x14ac:dyDescent="0.2">
      <c r="F986" s="980"/>
      <c r="I986" s="988"/>
      <c r="AG986" s="57"/>
    </row>
    <row r="987" spans="6:33" s="46" customFormat="1" x14ac:dyDescent="0.2">
      <c r="F987" s="980"/>
      <c r="I987" s="988"/>
      <c r="AG987" s="57"/>
    </row>
    <row r="988" spans="6:33" s="46" customFormat="1" x14ac:dyDescent="0.2">
      <c r="F988" s="980"/>
      <c r="I988" s="988"/>
      <c r="AG988" s="57"/>
    </row>
    <row r="989" spans="6:33" s="46" customFormat="1" x14ac:dyDescent="0.2">
      <c r="F989" s="980"/>
      <c r="I989" s="988"/>
      <c r="AG989" s="57"/>
    </row>
    <row r="990" spans="6:33" s="46" customFormat="1" x14ac:dyDescent="0.2">
      <c r="F990" s="980"/>
      <c r="I990" s="988"/>
      <c r="AG990" s="57"/>
    </row>
    <row r="991" spans="6:33" s="46" customFormat="1" x14ac:dyDescent="0.2">
      <c r="F991" s="980"/>
      <c r="I991" s="988"/>
      <c r="AG991" s="57"/>
    </row>
    <row r="992" spans="6:33" s="46" customFormat="1" x14ac:dyDescent="0.2">
      <c r="F992" s="980"/>
      <c r="I992" s="988"/>
      <c r="AG992" s="57"/>
    </row>
    <row r="993" spans="6:33" s="46" customFormat="1" x14ac:dyDescent="0.2">
      <c r="F993" s="980"/>
      <c r="I993" s="988"/>
      <c r="AG993" s="57"/>
    </row>
    <row r="994" spans="6:33" s="46" customFormat="1" x14ac:dyDescent="0.2">
      <c r="F994" s="980"/>
      <c r="I994" s="988"/>
      <c r="AG994" s="57"/>
    </row>
    <row r="995" spans="6:33" s="46" customFormat="1" x14ac:dyDescent="0.2">
      <c r="F995" s="980"/>
      <c r="I995" s="988"/>
      <c r="AG995" s="57"/>
    </row>
    <row r="996" spans="6:33" s="46" customFormat="1" x14ac:dyDescent="0.2">
      <c r="F996" s="980"/>
      <c r="I996" s="988"/>
      <c r="AG996" s="57"/>
    </row>
    <row r="997" spans="6:33" s="46" customFormat="1" x14ac:dyDescent="0.2">
      <c r="F997" s="980"/>
      <c r="I997" s="988"/>
      <c r="AG997" s="57"/>
    </row>
    <row r="998" spans="6:33" s="46" customFormat="1" x14ac:dyDescent="0.2">
      <c r="F998" s="980"/>
      <c r="I998" s="988"/>
      <c r="AG998" s="57"/>
    </row>
    <row r="999" spans="6:33" s="46" customFormat="1" x14ac:dyDescent="0.2">
      <c r="F999" s="980"/>
      <c r="I999" s="988"/>
      <c r="AG999" s="57"/>
    </row>
    <row r="1000" spans="6:33" s="46" customFormat="1" x14ac:dyDescent="0.2">
      <c r="F1000" s="980"/>
      <c r="I1000" s="988"/>
      <c r="AG1000" s="57"/>
    </row>
    <row r="1001" spans="6:33" s="46" customFormat="1" x14ac:dyDescent="0.2">
      <c r="F1001" s="980"/>
      <c r="I1001" s="988"/>
      <c r="AG1001" s="57"/>
    </row>
    <row r="1002" spans="6:33" s="46" customFormat="1" x14ac:dyDescent="0.2">
      <c r="F1002" s="980"/>
      <c r="I1002" s="988"/>
      <c r="AG1002" s="57"/>
    </row>
    <row r="1003" spans="6:33" s="46" customFormat="1" x14ac:dyDescent="0.2">
      <c r="F1003" s="980"/>
      <c r="I1003" s="988"/>
      <c r="AG1003" s="57"/>
    </row>
    <row r="1004" spans="6:33" s="46" customFormat="1" x14ac:dyDescent="0.2">
      <c r="F1004" s="980"/>
      <c r="I1004" s="988"/>
      <c r="AG1004" s="57"/>
    </row>
    <row r="1005" spans="6:33" s="46" customFormat="1" x14ac:dyDescent="0.2">
      <c r="F1005" s="980"/>
      <c r="I1005" s="988"/>
      <c r="AG1005" s="57"/>
    </row>
    <row r="1006" spans="6:33" s="46" customFormat="1" x14ac:dyDescent="0.2">
      <c r="F1006" s="980"/>
      <c r="I1006" s="988"/>
      <c r="AG1006" s="57"/>
    </row>
    <row r="1007" spans="6:33" s="46" customFormat="1" x14ac:dyDescent="0.2">
      <c r="F1007" s="980"/>
      <c r="I1007" s="988"/>
      <c r="AG1007" s="57"/>
    </row>
    <row r="1008" spans="6:33" s="46" customFormat="1" x14ac:dyDescent="0.2">
      <c r="F1008" s="980"/>
      <c r="I1008" s="988"/>
      <c r="AG1008" s="57"/>
    </row>
    <row r="1009" spans="6:33" s="46" customFormat="1" x14ac:dyDescent="0.2">
      <c r="F1009" s="980"/>
      <c r="I1009" s="988"/>
      <c r="AG1009" s="57"/>
    </row>
    <row r="1010" spans="6:33" s="46" customFormat="1" x14ac:dyDescent="0.2">
      <c r="F1010" s="980"/>
      <c r="I1010" s="988"/>
      <c r="AG1010" s="57"/>
    </row>
    <row r="1011" spans="6:33" s="46" customFormat="1" x14ac:dyDescent="0.2">
      <c r="F1011" s="980"/>
      <c r="I1011" s="988"/>
      <c r="AG1011" s="57"/>
    </row>
    <row r="1012" spans="6:33" s="46" customFormat="1" x14ac:dyDescent="0.2">
      <c r="F1012" s="980"/>
      <c r="I1012" s="988"/>
      <c r="AG1012" s="57"/>
    </row>
    <row r="1013" spans="6:33" s="46" customFormat="1" x14ac:dyDescent="0.2">
      <c r="F1013" s="980"/>
      <c r="I1013" s="988"/>
      <c r="AG1013" s="57"/>
    </row>
    <row r="1014" spans="6:33" s="46" customFormat="1" x14ac:dyDescent="0.2">
      <c r="F1014" s="980"/>
      <c r="I1014" s="988"/>
      <c r="AG1014" s="57"/>
    </row>
    <row r="1015" spans="6:33" s="46" customFormat="1" x14ac:dyDescent="0.2">
      <c r="F1015" s="980"/>
      <c r="I1015" s="988"/>
      <c r="AG1015" s="57"/>
    </row>
    <row r="1016" spans="6:33" s="46" customFormat="1" x14ac:dyDescent="0.2">
      <c r="F1016" s="980"/>
      <c r="I1016" s="988"/>
      <c r="AG1016" s="57"/>
    </row>
    <row r="1017" spans="6:33" s="46" customFormat="1" x14ac:dyDescent="0.2">
      <c r="F1017" s="980"/>
      <c r="I1017" s="988"/>
      <c r="AG1017" s="57"/>
    </row>
    <row r="1018" spans="6:33" s="46" customFormat="1" x14ac:dyDescent="0.2">
      <c r="F1018" s="980"/>
      <c r="I1018" s="988"/>
      <c r="AG1018" s="57"/>
    </row>
    <row r="1019" spans="6:33" s="46" customFormat="1" x14ac:dyDescent="0.2">
      <c r="F1019" s="980"/>
      <c r="I1019" s="988"/>
      <c r="AG1019" s="57"/>
    </row>
    <row r="1020" spans="6:33" s="46" customFormat="1" x14ac:dyDescent="0.2">
      <c r="F1020" s="980"/>
      <c r="I1020" s="988"/>
      <c r="AG1020" s="57"/>
    </row>
    <row r="1021" spans="6:33" s="46" customFormat="1" x14ac:dyDescent="0.2">
      <c r="F1021" s="980"/>
      <c r="I1021" s="988"/>
      <c r="AG1021" s="57"/>
    </row>
    <row r="1022" spans="6:33" s="46" customFormat="1" x14ac:dyDescent="0.2">
      <c r="F1022" s="980"/>
      <c r="I1022" s="988"/>
      <c r="AG1022" s="57"/>
    </row>
    <row r="1023" spans="6:33" s="46" customFormat="1" x14ac:dyDescent="0.2">
      <c r="F1023" s="980"/>
      <c r="I1023" s="988"/>
      <c r="AG1023" s="57"/>
    </row>
    <row r="1024" spans="6:33" s="46" customFormat="1" x14ac:dyDescent="0.2">
      <c r="F1024" s="980"/>
      <c r="I1024" s="988"/>
      <c r="AG1024" s="57"/>
    </row>
    <row r="1025" spans="6:33" s="46" customFormat="1" x14ac:dyDescent="0.2">
      <c r="F1025" s="980"/>
      <c r="I1025" s="988"/>
      <c r="AG1025" s="57"/>
    </row>
    <row r="1026" spans="6:33" s="46" customFormat="1" x14ac:dyDescent="0.2">
      <c r="F1026" s="980"/>
      <c r="I1026" s="988"/>
      <c r="AG1026" s="57"/>
    </row>
    <row r="1027" spans="6:33" s="46" customFormat="1" x14ac:dyDescent="0.2">
      <c r="F1027" s="980"/>
      <c r="I1027" s="988"/>
      <c r="AG1027" s="57"/>
    </row>
    <row r="1028" spans="6:33" s="46" customFormat="1" x14ac:dyDescent="0.2">
      <c r="F1028" s="980"/>
      <c r="I1028" s="988"/>
      <c r="AG1028" s="57"/>
    </row>
    <row r="1029" spans="6:33" s="46" customFormat="1" x14ac:dyDescent="0.2">
      <c r="F1029" s="980"/>
      <c r="I1029" s="988"/>
      <c r="AG1029" s="57"/>
    </row>
    <row r="1030" spans="6:33" s="46" customFormat="1" x14ac:dyDescent="0.2">
      <c r="F1030" s="980"/>
      <c r="I1030" s="988"/>
      <c r="AG1030" s="57"/>
    </row>
    <row r="1031" spans="6:33" s="46" customFormat="1" x14ac:dyDescent="0.2">
      <c r="F1031" s="980"/>
      <c r="I1031" s="988"/>
      <c r="AG1031" s="57"/>
    </row>
    <row r="1032" spans="6:33" s="46" customFormat="1" x14ac:dyDescent="0.2">
      <c r="F1032" s="980"/>
      <c r="I1032" s="988"/>
      <c r="AG1032" s="57"/>
    </row>
    <row r="1033" spans="6:33" s="46" customFormat="1" x14ac:dyDescent="0.2">
      <c r="F1033" s="980"/>
      <c r="I1033" s="988"/>
      <c r="AG1033" s="57"/>
    </row>
    <row r="1034" spans="6:33" s="46" customFormat="1" x14ac:dyDescent="0.2">
      <c r="F1034" s="980"/>
      <c r="I1034" s="988"/>
      <c r="AG1034" s="57"/>
    </row>
    <row r="1035" spans="6:33" s="46" customFormat="1" x14ac:dyDescent="0.2">
      <c r="F1035" s="980"/>
      <c r="I1035" s="988"/>
      <c r="AG1035" s="57"/>
    </row>
    <row r="1036" spans="6:33" s="46" customFormat="1" x14ac:dyDescent="0.2">
      <c r="F1036" s="980"/>
      <c r="I1036" s="988"/>
      <c r="AG1036" s="57"/>
    </row>
    <row r="1037" spans="6:33" s="46" customFormat="1" x14ac:dyDescent="0.2">
      <c r="F1037" s="980"/>
      <c r="I1037" s="988"/>
      <c r="AG1037" s="57"/>
    </row>
    <row r="1038" spans="6:33" s="46" customFormat="1" x14ac:dyDescent="0.2">
      <c r="F1038" s="980"/>
      <c r="I1038" s="988"/>
      <c r="AG1038" s="57"/>
    </row>
    <row r="1039" spans="6:33" s="46" customFormat="1" x14ac:dyDescent="0.2">
      <c r="F1039" s="980"/>
      <c r="I1039" s="988"/>
      <c r="AG1039" s="57"/>
    </row>
    <row r="1040" spans="6:33" s="46" customFormat="1" x14ac:dyDescent="0.2">
      <c r="F1040" s="980"/>
      <c r="I1040" s="988"/>
      <c r="AG1040" s="57"/>
    </row>
    <row r="1041" spans="6:33" s="46" customFormat="1" x14ac:dyDescent="0.2">
      <c r="F1041" s="980"/>
      <c r="I1041" s="988"/>
      <c r="AG1041" s="57"/>
    </row>
    <row r="1042" spans="6:33" s="46" customFormat="1" x14ac:dyDescent="0.2">
      <c r="F1042" s="980"/>
      <c r="I1042" s="988"/>
      <c r="AG1042" s="57"/>
    </row>
    <row r="1043" spans="6:33" s="46" customFormat="1" x14ac:dyDescent="0.2">
      <c r="F1043" s="980"/>
      <c r="I1043" s="988"/>
      <c r="AG1043" s="57"/>
    </row>
    <row r="1044" spans="6:33" s="46" customFormat="1" x14ac:dyDescent="0.2">
      <c r="F1044" s="980"/>
      <c r="I1044" s="988"/>
      <c r="AG1044" s="57"/>
    </row>
    <row r="1045" spans="6:33" s="46" customFormat="1" x14ac:dyDescent="0.2">
      <c r="F1045" s="980"/>
      <c r="I1045" s="988"/>
      <c r="AG1045" s="57"/>
    </row>
    <row r="1046" spans="6:33" s="46" customFormat="1" x14ac:dyDescent="0.2">
      <c r="F1046" s="980"/>
      <c r="I1046" s="988"/>
      <c r="AG1046" s="57"/>
    </row>
    <row r="1047" spans="6:33" s="46" customFormat="1" x14ac:dyDescent="0.2">
      <c r="F1047" s="980"/>
      <c r="I1047" s="988"/>
      <c r="AG1047" s="57"/>
    </row>
    <row r="1048" spans="6:33" s="46" customFormat="1" x14ac:dyDescent="0.2">
      <c r="F1048" s="980"/>
      <c r="I1048" s="988"/>
      <c r="AG1048" s="57"/>
    </row>
    <row r="1049" spans="6:33" s="46" customFormat="1" x14ac:dyDescent="0.2">
      <c r="F1049" s="980"/>
      <c r="I1049" s="988"/>
      <c r="AG1049" s="57"/>
    </row>
    <row r="1050" spans="6:33" s="46" customFormat="1" x14ac:dyDescent="0.2">
      <c r="F1050" s="980"/>
      <c r="I1050" s="988"/>
      <c r="AG1050" s="57"/>
    </row>
    <row r="1051" spans="6:33" s="46" customFormat="1" x14ac:dyDescent="0.2">
      <c r="F1051" s="980"/>
      <c r="I1051" s="988"/>
      <c r="AG1051" s="57"/>
    </row>
    <row r="1052" spans="6:33" s="46" customFormat="1" x14ac:dyDescent="0.2">
      <c r="F1052" s="980"/>
      <c r="I1052" s="988"/>
      <c r="AG1052" s="57"/>
    </row>
    <row r="1053" spans="6:33" s="46" customFormat="1" x14ac:dyDescent="0.2">
      <c r="F1053" s="980"/>
      <c r="I1053" s="988"/>
      <c r="AG1053" s="57"/>
    </row>
    <row r="1054" spans="6:33" s="46" customFormat="1" x14ac:dyDescent="0.2">
      <c r="F1054" s="980"/>
      <c r="I1054" s="988"/>
      <c r="AG1054" s="57"/>
    </row>
    <row r="1055" spans="6:33" s="46" customFormat="1" x14ac:dyDescent="0.2">
      <c r="F1055" s="980"/>
      <c r="I1055" s="988"/>
      <c r="AG1055" s="57"/>
    </row>
    <row r="1056" spans="6:33" s="46" customFormat="1" x14ac:dyDescent="0.2">
      <c r="F1056" s="980"/>
      <c r="I1056" s="988"/>
      <c r="AG1056" s="57"/>
    </row>
    <row r="1057" spans="6:33" s="46" customFormat="1" x14ac:dyDescent="0.2">
      <c r="F1057" s="980"/>
      <c r="I1057" s="988"/>
      <c r="AG1057" s="57"/>
    </row>
    <row r="1058" spans="6:33" s="46" customFormat="1" x14ac:dyDescent="0.2">
      <c r="F1058" s="980"/>
      <c r="I1058" s="988"/>
      <c r="AG1058" s="57"/>
    </row>
    <row r="1059" spans="6:33" s="46" customFormat="1" x14ac:dyDescent="0.2">
      <c r="F1059" s="980"/>
      <c r="I1059" s="988"/>
      <c r="AG1059" s="57"/>
    </row>
    <row r="1060" spans="6:33" s="46" customFormat="1" x14ac:dyDescent="0.2">
      <c r="F1060" s="980"/>
      <c r="I1060" s="988"/>
      <c r="AG1060" s="57"/>
    </row>
    <row r="1061" spans="6:33" s="46" customFormat="1" x14ac:dyDescent="0.2">
      <c r="F1061" s="980"/>
      <c r="I1061" s="988"/>
      <c r="AG1061" s="57"/>
    </row>
    <row r="1062" spans="6:33" s="46" customFormat="1" x14ac:dyDescent="0.2">
      <c r="F1062" s="980"/>
      <c r="I1062" s="988"/>
      <c r="AG1062" s="57"/>
    </row>
    <row r="1063" spans="6:33" s="46" customFormat="1" x14ac:dyDescent="0.2">
      <c r="F1063" s="980"/>
      <c r="I1063" s="988"/>
      <c r="AG1063" s="57"/>
    </row>
    <row r="1064" spans="6:33" s="46" customFormat="1" x14ac:dyDescent="0.2">
      <c r="F1064" s="980"/>
      <c r="I1064" s="988"/>
      <c r="AG1064" s="57"/>
    </row>
    <row r="1065" spans="6:33" s="46" customFormat="1" x14ac:dyDescent="0.2">
      <c r="F1065" s="980"/>
      <c r="I1065" s="988"/>
      <c r="AG1065" s="57"/>
    </row>
    <row r="1066" spans="6:33" s="46" customFormat="1" x14ac:dyDescent="0.2">
      <c r="F1066" s="980"/>
      <c r="I1066" s="988"/>
      <c r="AG1066" s="57"/>
    </row>
    <row r="1067" spans="6:33" s="46" customFormat="1" x14ac:dyDescent="0.2">
      <c r="F1067" s="980"/>
      <c r="I1067" s="988"/>
      <c r="AG1067" s="57"/>
    </row>
    <row r="1068" spans="6:33" s="46" customFormat="1" x14ac:dyDescent="0.2">
      <c r="F1068" s="980"/>
      <c r="I1068" s="988"/>
      <c r="AG1068" s="57"/>
    </row>
    <row r="1069" spans="6:33" s="46" customFormat="1" x14ac:dyDescent="0.2">
      <c r="F1069" s="980"/>
      <c r="I1069" s="988"/>
      <c r="AG1069" s="57"/>
    </row>
    <row r="1070" spans="6:33" s="46" customFormat="1" x14ac:dyDescent="0.2">
      <c r="F1070" s="980"/>
      <c r="I1070" s="988"/>
      <c r="AG1070" s="57"/>
    </row>
    <row r="1071" spans="6:33" s="46" customFormat="1" x14ac:dyDescent="0.2">
      <c r="F1071" s="980"/>
      <c r="I1071" s="988"/>
      <c r="AG1071" s="57"/>
    </row>
    <row r="1072" spans="6:33" s="46" customFormat="1" x14ac:dyDescent="0.2">
      <c r="F1072" s="980"/>
      <c r="I1072" s="988"/>
      <c r="AG1072" s="57"/>
    </row>
    <row r="1073" spans="6:33" s="46" customFormat="1" x14ac:dyDescent="0.2">
      <c r="F1073" s="980"/>
      <c r="I1073" s="988"/>
      <c r="AG1073" s="57"/>
    </row>
    <row r="1074" spans="6:33" s="46" customFormat="1" x14ac:dyDescent="0.2">
      <c r="F1074" s="980"/>
      <c r="I1074" s="988"/>
      <c r="AG1074" s="57"/>
    </row>
    <row r="1075" spans="6:33" s="46" customFormat="1" x14ac:dyDescent="0.2">
      <c r="F1075" s="980"/>
      <c r="I1075" s="988"/>
      <c r="AG1075" s="57"/>
    </row>
    <row r="1076" spans="6:33" s="46" customFormat="1" x14ac:dyDescent="0.2">
      <c r="F1076" s="980"/>
      <c r="I1076" s="988"/>
      <c r="AG1076" s="57"/>
    </row>
    <row r="1077" spans="6:33" s="46" customFormat="1" x14ac:dyDescent="0.2">
      <c r="F1077" s="980"/>
      <c r="I1077" s="988"/>
      <c r="AG1077" s="57"/>
    </row>
    <row r="1078" spans="6:33" s="46" customFormat="1" x14ac:dyDescent="0.2">
      <c r="F1078" s="980"/>
      <c r="I1078" s="988"/>
      <c r="AG1078" s="57"/>
    </row>
    <row r="1079" spans="6:33" s="46" customFormat="1" x14ac:dyDescent="0.2">
      <c r="F1079" s="980"/>
      <c r="I1079" s="988"/>
      <c r="AG1079" s="57"/>
    </row>
    <row r="1080" spans="6:33" s="46" customFormat="1" x14ac:dyDescent="0.2">
      <c r="F1080" s="980"/>
      <c r="I1080" s="988"/>
      <c r="AG1080" s="57"/>
    </row>
    <row r="1081" spans="6:33" s="46" customFormat="1" x14ac:dyDescent="0.2">
      <c r="F1081" s="980"/>
      <c r="I1081" s="988"/>
      <c r="AG1081" s="57"/>
    </row>
    <row r="1082" spans="6:33" s="46" customFormat="1" x14ac:dyDescent="0.2">
      <c r="F1082" s="980"/>
      <c r="I1082" s="988"/>
      <c r="AG1082" s="57"/>
    </row>
    <row r="1083" spans="6:33" s="46" customFormat="1" x14ac:dyDescent="0.2">
      <c r="F1083" s="980"/>
      <c r="I1083" s="988"/>
      <c r="AG1083" s="57"/>
    </row>
    <row r="1084" spans="6:33" s="46" customFormat="1" x14ac:dyDescent="0.2">
      <c r="F1084" s="980"/>
      <c r="I1084" s="988"/>
      <c r="AG1084" s="57"/>
    </row>
    <row r="1085" spans="6:33" s="46" customFormat="1" x14ac:dyDescent="0.2">
      <c r="F1085" s="980"/>
      <c r="I1085" s="988"/>
      <c r="AG1085" s="57"/>
    </row>
    <row r="1086" spans="6:33" s="46" customFormat="1" x14ac:dyDescent="0.2">
      <c r="F1086" s="980"/>
      <c r="I1086" s="988"/>
      <c r="AG1086" s="57"/>
    </row>
    <row r="1087" spans="6:33" s="46" customFormat="1" x14ac:dyDescent="0.2">
      <c r="F1087" s="980"/>
      <c r="I1087" s="988"/>
      <c r="AG1087" s="57"/>
    </row>
    <row r="1088" spans="6:33" s="46" customFormat="1" x14ac:dyDescent="0.2">
      <c r="F1088" s="980"/>
      <c r="I1088" s="988"/>
      <c r="AG1088" s="57"/>
    </row>
    <row r="1089" spans="6:33" s="46" customFormat="1" x14ac:dyDescent="0.2">
      <c r="F1089" s="980"/>
      <c r="I1089" s="988"/>
      <c r="AG1089" s="57"/>
    </row>
    <row r="1090" spans="6:33" s="46" customFormat="1" x14ac:dyDescent="0.2">
      <c r="F1090" s="980"/>
      <c r="I1090" s="988"/>
      <c r="AG1090" s="57"/>
    </row>
    <row r="1091" spans="6:33" s="46" customFormat="1" x14ac:dyDescent="0.2">
      <c r="F1091" s="980"/>
      <c r="I1091" s="988"/>
      <c r="AG1091" s="57"/>
    </row>
    <row r="1092" spans="6:33" s="46" customFormat="1" x14ac:dyDescent="0.2">
      <c r="F1092" s="980"/>
      <c r="I1092" s="988"/>
      <c r="AG1092" s="57"/>
    </row>
    <row r="1093" spans="6:33" s="46" customFormat="1" x14ac:dyDescent="0.2">
      <c r="F1093" s="980"/>
      <c r="I1093" s="988"/>
      <c r="AG1093" s="57"/>
    </row>
    <row r="1094" spans="6:33" s="46" customFormat="1" x14ac:dyDescent="0.2">
      <c r="F1094" s="980"/>
      <c r="I1094" s="988"/>
      <c r="AG1094" s="57"/>
    </row>
    <row r="1095" spans="6:33" s="46" customFormat="1" x14ac:dyDescent="0.2">
      <c r="F1095" s="980"/>
      <c r="I1095" s="988"/>
      <c r="AG1095" s="57"/>
    </row>
    <row r="1096" spans="6:33" s="46" customFormat="1" x14ac:dyDescent="0.2">
      <c r="F1096" s="980"/>
      <c r="I1096" s="988"/>
      <c r="AG1096" s="57"/>
    </row>
    <row r="1097" spans="6:33" s="46" customFormat="1" x14ac:dyDescent="0.2">
      <c r="F1097" s="980"/>
      <c r="I1097" s="988"/>
      <c r="AG1097" s="57"/>
    </row>
    <row r="1098" spans="6:33" s="46" customFormat="1" x14ac:dyDescent="0.2">
      <c r="F1098" s="980"/>
      <c r="I1098" s="988"/>
      <c r="AG1098" s="57"/>
    </row>
    <row r="1099" spans="6:33" s="46" customFormat="1" x14ac:dyDescent="0.2">
      <c r="F1099" s="980"/>
      <c r="I1099" s="988"/>
      <c r="AG1099" s="57"/>
    </row>
    <row r="1100" spans="6:33" s="46" customFormat="1" x14ac:dyDescent="0.2">
      <c r="F1100" s="980"/>
      <c r="I1100" s="988"/>
      <c r="AG1100" s="57"/>
    </row>
    <row r="1101" spans="6:33" s="46" customFormat="1" x14ac:dyDescent="0.2">
      <c r="F1101" s="980"/>
      <c r="I1101" s="988"/>
      <c r="AG1101" s="57"/>
    </row>
    <row r="1102" spans="6:33" s="46" customFormat="1" x14ac:dyDescent="0.2">
      <c r="F1102" s="980"/>
      <c r="I1102" s="988"/>
      <c r="AG1102" s="57"/>
    </row>
    <row r="1103" spans="6:33" s="46" customFormat="1" x14ac:dyDescent="0.2">
      <c r="F1103" s="980"/>
      <c r="I1103" s="988"/>
      <c r="AG1103" s="57"/>
    </row>
    <row r="1104" spans="6:33" s="46" customFormat="1" x14ac:dyDescent="0.2">
      <c r="F1104" s="980"/>
      <c r="I1104" s="988"/>
      <c r="AG1104" s="57"/>
    </row>
    <row r="1105" spans="6:33" s="46" customFormat="1" x14ac:dyDescent="0.2">
      <c r="F1105" s="980"/>
      <c r="I1105" s="988"/>
      <c r="AG1105" s="57"/>
    </row>
    <row r="1106" spans="6:33" s="46" customFormat="1" x14ac:dyDescent="0.2">
      <c r="F1106" s="980"/>
      <c r="I1106" s="988"/>
      <c r="AG1106" s="57"/>
    </row>
    <row r="1107" spans="6:33" s="46" customFormat="1" x14ac:dyDescent="0.2">
      <c r="F1107" s="980"/>
      <c r="I1107" s="988"/>
      <c r="AG1107" s="57"/>
    </row>
    <row r="1108" spans="6:33" s="46" customFormat="1" x14ac:dyDescent="0.2">
      <c r="F1108" s="980"/>
      <c r="I1108" s="988"/>
      <c r="AG1108" s="57"/>
    </row>
    <row r="1109" spans="6:33" s="46" customFormat="1" x14ac:dyDescent="0.2">
      <c r="F1109" s="980"/>
      <c r="I1109" s="988"/>
      <c r="AG1109" s="57"/>
    </row>
    <row r="1110" spans="6:33" s="46" customFormat="1" x14ac:dyDescent="0.2">
      <c r="F1110" s="980"/>
      <c r="I1110" s="988"/>
      <c r="AG1110" s="57"/>
    </row>
    <row r="1111" spans="6:33" s="46" customFormat="1" x14ac:dyDescent="0.2">
      <c r="F1111" s="980"/>
      <c r="I1111" s="988"/>
      <c r="AG1111" s="57"/>
    </row>
    <row r="1112" spans="6:33" s="46" customFormat="1" x14ac:dyDescent="0.2">
      <c r="F1112" s="980"/>
      <c r="I1112" s="988"/>
      <c r="AG1112" s="57"/>
    </row>
    <row r="1113" spans="6:33" s="46" customFormat="1" x14ac:dyDescent="0.2">
      <c r="F1113" s="980"/>
      <c r="I1113" s="988"/>
      <c r="AG1113" s="57"/>
    </row>
    <row r="1114" spans="6:33" s="46" customFormat="1" x14ac:dyDescent="0.2">
      <c r="F1114" s="980"/>
      <c r="I1114" s="988"/>
      <c r="AG1114" s="57"/>
    </row>
    <row r="1115" spans="6:33" s="46" customFormat="1" x14ac:dyDescent="0.2">
      <c r="F1115" s="980"/>
      <c r="I1115" s="988"/>
      <c r="AG1115" s="57"/>
    </row>
    <row r="1116" spans="6:33" s="46" customFormat="1" x14ac:dyDescent="0.2">
      <c r="F1116" s="980"/>
      <c r="I1116" s="988"/>
      <c r="AG1116" s="57"/>
    </row>
    <row r="1117" spans="6:33" s="46" customFormat="1" x14ac:dyDescent="0.2">
      <c r="F1117" s="980"/>
      <c r="I1117" s="988"/>
      <c r="AG1117" s="57"/>
    </row>
    <row r="1118" spans="6:33" s="46" customFormat="1" x14ac:dyDescent="0.2">
      <c r="F1118" s="980"/>
      <c r="I1118" s="988"/>
      <c r="AG1118" s="57"/>
    </row>
    <row r="1119" spans="6:33" s="46" customFormat="1" x14ac:dyDescent="0.2">
      <c r="F1119" s="980"/>
      <c r="I1119" s="988"/>
      <c r="AG1119" s="57"/>
    </row>
    <row r="1120" spans="6:33" s="46" customFormat="1" x14ac:dyDescent="0.2">
      <c r="F1120" s="980"/>
      <c r="I1120" s="988"/>
      <c r="AG1120" s="57"/>
    </row>
    <row r="1121" spans="6:33" s="46" customFormat="1" x14ac:dyDescent="0.2">
      <c r="F1121" s="980"/>
      <c r="I1121" s="988"/>
      <c r="AG1121" s="57"/>
    </row>
    <row r="1122" spans="6:33" s="46" customFormat="1" x14ac:dyDescent="0.2">
      <c r="F1122" s="980"/>
      <c r="I1122" s="988"/>
      <c r="AG1122" s="57"/>
    </row>
    <row r="1123" spans="6:33" s="46" customFormat="1" x14ac:dyDescent="0.2">
      <c r="F1123" s="980"/>
      <c r="I1123" s="988"/>
      <c r="AG1123" s="57"/>
    </row>
    <row r="1124" spans="6:33" s="46" customFormat="1" x14ac:dyDescent="0.2">
      <c r="F1124" s="980"/>
      <c r="I1124" s="988"/>
      <c r="AG1124" s="57"/>
    </row>
    <row r="1125" spans="6:33" s="46" customFormat="1" x14ac:dyDescent="0.2">
      <c r="F1125" s="980"/>
      <c r="I1125" s="988"/>
      <c r="AG1125" s="57"/>
    </row>
    <row r="1126" spans="6:33" s="46" customFormat="1" x14ac:dyDescent="0.2">
      <c r="F1126" s="980"/>
      <c r="I1126" s="988"/>
      <c r="AG1126" s="57"/>
    </row>
    <row r="1127" spans="6:33" s="46" customFormat="1" x14ac:dyDescent="0.2">
      <c r="F1127" s="980"/>
      <c r="I1127" s="988"/>
      <c r="AG1127" s="57"/>
    </row>
    <row r="1128" spans="6:33" s="46" customFormat="1" x14ac:dyDescent="0.2">
      <c r="F1128" s="980"/>
      <c r="I1128" s="988"/>
      <c r="AG1128" s="57"/>
    </row>
    <row r="1129" spans="6:33" s="46" customFormat="1" x14ac:dyDescent="0.2">
      <c r="F1129" s="980"/>
      <c r="I1129" s="988"/>
      <c r="AG1129" s="57"/>
    </row>
    <row r="1130" spans="6:33" s="46" customFormat="1" x14ac:dyDescent="0.2">
      <c r="F1130" s="980"/>
      <c r="I1130" s="988"/>
      <c r="AG1130" s="57"/>
    </row>
    <row r="1131" spans="6:33" s="46" customFormat="1" x14ac:dyDescent="0.2">
      <c r="F1131" s="980"/>
      <c r="I1131" s="988"/>
      <c r="AG1131" s="57"/>
    </row>
    <row r="1132" spans="6:33" s="46" customFormat="1" x14ac:dyDescent="0.2">
      <c r="F1132" s="980"/>
      <c r="I1132" s="988"/>
      <c r="AG1132" s="57"/>
    </row>
    <row r="1133" spans="6:33" s="46" customFormat="1" x14ac:dyDescent="0.2">
      <c r="F1133" s="980"/>
      <c r="I1133" s="988"/>
      <c r="AG1133" s="57"/>
    </row>
    <row r="1134" spans="6:33" s="46" customFormat="1" x14ac:dyDescent="0.2">
      <c r="F1134" s="980"/>
      <c r="I1134" s="988"/>
      <c r="AG1134" s="57"/>
    </row>
    <row r="1135" spans="6:33" s="46" customFormat="1" x14ac:dyDescent="0.2">
      <c r="F1135" s="980"/>
      <c r="I1135" s="988"/>
      <c r="AG1135" s="57"/>
    </row>
    <row r="1136" spans="6:33" s="46" customFormat="1" x14ac:dyDescent="0.2">
      <c r="F1136" s="980"/>
      <c r="I1136" s="988"/>
      <c r="AG1136" s="57"/>
    </row>
    <row r="1137" spans="6:33" s="46" customFormat="1" x14ac:dyDescent="0.2">
      <c r="F1137" s="980"/>
      <c r="I1137" s="988"/>
      <c r="AG1137" s="57"/>
    </row>
    <row r="1138" spans="6:33" s="46" customFormat="1" x14ac:dyDescent="0.2">
      <c r="F1138" s="980"/>
      <c r="I1138" s="988"/>
      <c r="AG1138" s="57"/>
    </row>
    <row r="1139" spans="6:33" s="46" customFormat="1" x14ac:dyDescent="0.2">
      <c r="F1139" s="980"/>
      <c r="I1139" s="988"/>
      <c r="AG1139" s="57"/>
    </row>
    <row r="1140" spans="6:33" s="46" customFormat="1" x14ac:dyDescent="0.2">
      <c r="F1140" s="980"/>
      <c r="I1140" s="988"/>
      <c r="AG1140" s="57"/>
    </row>
    <row r="1141" spans="6:33" s="46" customFormat="1" x14ac:dyDescent="0.2">
      <c r="F1141" s="980"/>
      <c r="I1141" s="988"/>
      <c r="AG1141" s="57"/>
    </row>
    <row r="1142" spans="6:33" s="46" customFormat="1" x14ac:dyDescent="0.2">
      <c r="F1142" s="980"/>
      <c r="I1142" s="988"/>
      <c r="AG1142" s="57"/>
    </row>
    <row r="1143" spans="6:33" s="46" customFormat="1" x14ac:dyDescent="0.2">
      <c r="F1143" s="980"/>
      <c r="I1143" s="988"/>
      <c r="AG1143" s="57"/>
    </row>
    <row r="1144" spans="6:33" s="46" customFormat="1" x14ac:dyDescent="0.2">
      <c r="F1144" s="980"/>
      <c r="I1144" s="988"/>
      <c r="AG1144" s="57"/>
    </row>
    <row r="1145" spans="6:33" s="46" customFormat="1" x14ac:dyDescent="0.2">
      <c r="F1145" s="980"/>
      <c r="I1145" s="988"/>
      <c r="AG1145" s="57"/>
    </row>
    <row r="1146" spans="6:33" s="46" customFormat="1" x14ac:dyDescent="0.2">
      <c r="F1146" s="980"/>
      <c r="I1146" s="988"/>
      <c r="AG1146" s="57"/>
    </row>
    <row r="1147" spans="6:33" s="46" customFormat="1" x14ac:dyDescent="0.2">
      <c r="F1147" s="980"/>
      <c r="I1147" s="988"/>
      <c r="AG1147" s="57"/>
    </row>
    <row r="1148" spans="6:33" s="46" customFormat="1" x14ac:dyDescent="0.2">
      <c r="F1148" s="980"/>
      <c r="I1148" s="988"/>
      <c r="AG1148" s="57"/>
    </row>
    <row r="1149" spans="6:33" s="46" customFormat="1" x14ac:dyDescent="0.2">
      <c r="F1149" s="980"/>
      <c r="I1149" s="988"/>
      <c r="AG1149" s="57"/>
    </row>
    <row r="1150" spans="6:33" s="46" customFormat="1" x14ac:dyDescent="0.2">
      <c r="F1150" s="980"/>
      <c r="I1150" s="988"/>
      <c r="AG1150" s="57"/>
    </row>
    <row r="1151" spans="6:33" s="46" customFormat="1" x14ac:dyDescent="0.2">
      <c r="F1151" s="980"/>
      <c r="I1151" s="988"/>
      <c r="AG1151" s="57"/>
    </row>
    <row r="1152" spans="6:33" s="46" customFormat="1" x14ac:dyDescent="0.2">
      <c r="F1152" s="980"/>
      <c r="I1152" s="988"/>
      <c r="AG1152" s="57"/>
    </row>
    <row r="1153" spans="6:33" s="46" customFormat="1" x14ac:dyDescent="0.2">
      <c r="F1153" s="980"/>
      <c r="I1153" s="988"/>
      <c r="AG1153" s="57"/>
    </row>
    <row r="1154" spans="6:33" s="46" customFormat="1" x14ac:dyDescent="0.2">
      <c r="F1154" s="980"/>
      <c r="I1154" s="988"/>
      <c r="AG1154" s="57"/>
    </row>
    <row r="1155" spans="6:33" s="46" customFormat="1" x14ac:dyDescent="0.2">
      <c r="F1155" s="980"/>
      <c r="I1155" s="988"/>
      <c r="AG1155" s="57"/>
    </row>
    <row r="1156" spans="6:33" s="46" customFormat="1" x14ac:dyDescent="0.2">
      <c r="F1156" s="980"/>
      <c r="I1156" s="988"/>
      <c r="AG1156" s="57"/>
    </row>
    <row r="1157" spans="6:33" s="46" customFormat="1" x14ac:dyDescent="0.2">
      <c r="F1157" s="980"/>
      <c r="I1157" s="988"/>
      <c r="AG1157" s="57"/>
    </row>
    <row r="1158" spans="6:33" s="46" customFormat="1" x14ac:dyDescent="0.2">
      <c r="F1158" s="980"/>
      <c r="I1158" s="988"/>
      <c r="AG1158" s="57"/>
    </row>
    <row r="1159" spans="6:33" s="46" customFormat="1" x14ac:dyDescent="0.2">
      <c r="F1159" s="980"/>
      <c r="I1159" s="988"/>
      <c r="AG1159" s="57"/>
    </row>
    <row r="1160" spans="6:33" s="46" customFormat="1" x14ac:dyDescent="0.2">
      <c r="F1160" s="980"/>
      <c r="I1160" s="988"/>
      <c r="AG1160" s="57"/>
    </row>
    <row r="1161" spans="6:33" s="46" customFormat="1" x14ac:dyDescent="0.2">
      <c r="F1161" s="980"/>
      <c r="I1161" s="988"/>
      <c r="AG1161" s="57"/>
    </row>
    <row r="1162" spans="6:33" s="46" customFormat="1" x14ac:dyDescent="0.2">
      <c r="F1162" s="980"/>
      <c r="I1162" s="988"/>
      <c r="AG1162" s="57"/>
    </row>
    <row r="1163" spans="6:33" s="46" customFormat="1" x14ac:dyDescent="0.2">
      <c r="F1163" s="980"/>
      <c r="I1163" s="988"/>
      <c r="AG1163" s="57"/>
    </row>
    <row r="1164" spans="6:33" s="46" customFormat="1" x14ac:dyDescent="0.2">
      <c r="F1164" s="980"/>
      <c r="I1164" s="988"/>
      <c r="AG1164" s="57"/>
    </row>
    <row r="1165" spans="6:33" s="46" customFormat="1" x14ac:dyDescent="0.2">
      <c r="F1165" s="980"/>
      <c r="I1165" s="988"/>
      <c r="AG1165" s="57"/>
    </row>
    <row r="1166" spans="6:33" s="46" customFormat="1" x14ac:dyDescent="0.2">
      <c r="F1166" s="980"/>
      <c r="I1166" s="988"/>
      <c r="AG1166" s="57"/>
    </row>
    <row r="1167" spans="6:33" s="46" customFormat="1" x14ac:dyDescent="0.2">
      <c r="F1167" s="980"/>
      <c r="I1167" s="988"/>
      <c r="AG1167" s="57"/>
    </row>
    <row r="1168" spans="6:33" s="46" customFormat="1" x14ac:dyDescent="0.2">
      <c r="F1168" s="980"/>
      <c r="I1168" s="988"/>
      <c r="AG1168" s="57"/>
    </row>
    <row r="1169" spans="6:33" s="46" customFormat="1" x14ac:dyDescent="0.2">
      <c r="F1169" s="980"/>
      <c r="I1169" s="988"/>
      <c r="AG1169" s="57"/>
    </row>
    <row r="1170" spans="6:33" s="46" customFormat="1" x14ac:dyDescent="0.2">
      <c r="F1170" s="980"/>
      <c r="I1170" s="988"/>
      <c r="AG1170" s="57"/>
    </row>
    <row r="1171" spans="6:33" s="46" customFormat="1" x14ac:dyDescent="0.2">
      <c r="F1171" s="980"/>
      <c r="I1171" s="988"/>
      <c r="AG1171" s="57"/>
    </row>
    <row r="1172" spans="6:33" s="46" customFormat="1" x14ac:dyDescent="0.2">
      <c r="F1172" s="980"/>
      <c r="I1172" s="988"/>
      <c r="AG1172" s="57"/>
    </row>
    <row r="1173" spans="6:33" s="46" customFormat="1" x14ac:dyDescent="0.2">
      <c r="F1173" s="980"/>
      <c r="I1173" s="988"/>
      <c r="AG1173" s="57"/>
    </row>
    <row r="1174" spans="6:33" s="46" customFormat="1" x14ac:dyDescent="0.2">
      <c r="F1174" s="980"/>
      <c r="I1174" s="988"/>
      <c r="AG1174" s="57"/>
    </row>
    <row r="1175" spans="6:33" s="46" customFormat="1" x14ac:dyDescent="0.2">
      <c r="F1175" s="980"/>
      <c r="I1175" s="988"/>
      <c r="AG1175" s="57"/>
    </row>
    <row r="1176" spans="6:33" s="46" customFormat="1" x14ac:dyDescent="0.2">
      <c r="F1176" s="980"/>
      <c r="I1176" s="988"/>
      <c r="AG1176" s="57"/>
    </row>
    <row r="1177" spans="6:33" s="46" customFormat="1" x14ac:dyDescent="0.2">
      <c r="F1177" s="980"/>
      <c r="I1177" s="988"/>
      <c r="AG1177" s="57"/>
    </row>
    <row r="1178" spans="6:33" s="46" customFormat="1" x14ac:dyDescent="0.2">
      <c r="F1178" s="980"/>
      <c r="I1178" s="988"/>
      <c r="AG1178" s="57"/>
    </row>
    <row r="1179" spans="6:33" s="46" customFormat="1" x14ac:dyDescent="0.2">
      <c r="F1179" s="980"/>
      <c r="I1179" s="988"/>
      <c r="AG1179" s="57"/>
    </row>
    <row r="1180" spans="6:33" s="46" customFormat="1" x14ac:dyDescent="0.2">
      <c r="F1180" s="980"/>
      <c r="I1180" s="988"/>
      <c r="AG1180" s="57"/>
    </row>
    <row r="1181" spans="6:33" s="46" customFormat="1" x14ac:dyDescent="0.2">
      <c r="F1181" s="980"/>
      <c r="I1181" s="988"/>
      <c r="AG1181" s="57"/>
    </row>
    <row r="1182" spans="6:33" s="46" customFormat="1" x14ac:dyDescent="0.2">
      <c r="F1182" s="980"/>
      <c r="I1182" s="988"/>
      <c r="AG1182" s="57"/>
    </row>
    <row r="1183" spans="6:33" s="46" customFormat="1" x14ac:dyDescent="0.2">
      <c r="F1183" s="980"/>
      <c r="I1183" s="988"/>
      <c r="AG1183" s="57"/>
    </row>
    <row r="1184" spans="6:33" s="46" customFormat="1" x14ac:dyDescent="0.2">
      <c r="F1184" s="980"/>
      <c r="I1184" s="988"/>
      <c r="AG1184" s="57"/>
    </row>
    <row r="1185" spans="6:33" s="46" customFormat="1" x14ac:dyDescent="0.2">
      <c r="F1185" s="980"/>
      <c r="I1185" s="988"/>
      <c r="AG1185" s="57"/>
    </row>
    <row r="1186" spans="6:33" s="46" customFormat="1" x14ac:dyDescent="0.2">
      <c r="F1186" s="980"/>
      <c r="I1186" s="988"/>
      <c r="AG1186" s="57"/>
    </row>
    <row r="1187" spans="6:33" s="46" customFormat="1" x14ac:dyDescent="0.2">
      <c r="F1187" s="980"/>
      <c r="I1187" s="988"/>
      <c r="AG1187" s="57"/>
    </row>
    <row r="1188" spans="6:33" s="46" customFormat="1" x14ac:dyDescent="0.2">
      <c r="F1188" s="980"/>
      <c r="I1188" s="988"/>
      <c r="AG1188" s="57"/>
    </row>
    <row r="1189" spans="6:33" s="46" customFormat="1" x14ac:dyDescent="0.2">
      <c r="F1189" s="980"/>
      <c r="I1189" s="988"/>
      <c r="AG1189" s="57"/>
    </row>
    <row r="1190" spans="6:33" s="46" customFormat="1" x14ac:dyDescent="0.2">
      <c r="F1190" s="980"/>
      <c r="I1190" s="988"/>
      <c r="AG1190" s="57"/>
    </row>
    <row r="1191" spans="6:33" s="46" customFormat="1" x14ac:dyDescent="0.2">
      <c r="F1191" s="980"/>
      <c r="I1191" s="988"/>
      <c r="AG1191" s="57"/>
    </row>
    <row r="1192" spans="6:33" s="46" customFormat="1" x14ac:dyDescent="0.2">
      <c r="F1192" s="980"/>
      <c r="I1192" s="988"/>
      <c r="AG1192" s="57"/>
    </row>
    <row r="1193" spans="6:33" s="46" customFormat="1" x14ac:dyDescent="0.2">
      <c r="F1193" s="980"/>
      <c r="I1193" s="988"/>
      <c r="AG1193" s="57"/>
    </row>
    <row r="1194" spans="6:33" s="46" customFormat="1" x14ac:dyDescent="0.2">
      <c r="F1194" s="980"/>
      <c r="I1194" s="988"/>
      <c r="AG1194" s="57"/>
    </row>
    <row r="1195" spans="6:33" s="46" customFormat="1" x14ac:dyDescent="0.2">
      <c r="F1195" s="980"/>
      <c r="I1195" s="988"/>
      <c r="AG1195" s="57"/>
    </row>
    <row r="1196" spans="6:33" s="46" customFormat="1" x14ac:dyDescent="0.2">
      <c r="F1196" s="980"/>
      <c r="I1196" s="988"/>
      <c r="AG1196" s="57"/>
    </row>
    <row r="1197" spans="6:33" s="46" customFormat="1" x14ac:dyDescent="0.2">
      <c r="F1197" s="980"/>
      <c r="I1197" s="988"/>
      <c r="AG1197" s="57"/>
    </row>
    <row r="1198" spans="6:33" s="46" customFormat="1" x14ac:dyDescent="0.2">
      <c r="F1198" s="980"/>
      <c r="I1198" s="988"/>
      <c r="AG1198" s="57"/>
    </row>
    <row r="1199" spans="6:33" s="46" customFormat="1" x14ac:dyDescent="0.2">
      <c r="F1199" s="980"/>
      <c r="I1199" s="988"/>
      <c r="AG1199" s="57"/>
    </row>
    <row r="1200" spans="6:33" s="46" customFormat="1" x14ac:dyDescent="0.2">
      <c r="F1200" s="980"/>
      <c r="I1200" s="988"/>
      <c r="AG1200" s="57"/>
    </row>
    <row r="1201" spans="6:33" s="46" customFormat="1" x14ac:dyDescent="0.2">
      <c r="F1201" s="980"/>
      <c r="I1201" s="988"/>
      <c r="AG1201" s="57"/>
    </row>
    <row r="1202" spans="6:33" s="46" customFormat="1" x14ac:dyDescent="0.2">
      <c r="F1202" s="980"/>
      <c r="I1202" s="988"/>
      <c r="AG1202" s="57"/>
    </row>
    <row r="1203" spans="6:33" s="46" customFormat="1" x14ac:dyDescent="0.2">
      <c r="F1203" s="980"/>
      <c r="I1203" s="988"/>
      <c r="AG1203" s="57"/>
    </row>
    <row r="1204" spans="6:33" s="46" customFormat="1" x14ac:dyDescent="0.2">
      <c r="F1204" s="980"/>
      <c r="I1204" s="988"/>
      <c r="AG1204" s="57"/>
    </row>
    <row r="1205" spans="6:33" s="46" customFormat="1" x14ac:dyDescent="0.2">
      <c r="F1205" s="980"/>
      <c r="I1205" s="988"/>
      <c r="AG1205" s="57"/>
    </row>
    <row r="1206" spans="6:33" s="46" customFormat="1" x14ac:dyDescent="0.2">
      <c r="F1206" s="980"/>
      <c r="I1206" s="988"/>
      <c r="AG1206" s="57"/>
    </row>
    <row r="1207" spans="6:33" s="46" customFormat="1" x14ac:dyDescent="0.2">
      <c r="F1207" s="980"/>
      <c r="I1207" s="988"/>
      <c r="AG1207" s="57"/>
    </row>
    <row r="1208" spans="6:33" s="46" customFormat="1" x14ac:dyDescent="0.2">
      <c r="F1208" s="980"/>
      <c r="I1208" s="988"/>
      <c r="AG1208" s="57"/>
    </row>
    <row r="1209" spans="6:33" s="46" customFormat="1" x14ac:dyDescent="0.2">
      <c r="F1209" s="980"/>
      <c r="I1209" s="988"/>
      <c r="AG1209" s="57"/>
    </row>
    <row r="1210" spans="6:33" s="46" customFormat="1" x14ac:dyDescent="0.2">
      <c r="F1210" s="980"/>
      <c r="I1210" s="988"/>
      <c r="AG1210" s="57"/>
    </row>
    <row r="1211" spans="6:33" s="46" customFormat="1" x14ac:dyDescent="0.2">
      <c r="F1211" s="980"/>
      <c r="I1211" s="988"/>
      <c r="AG1211" s="57"/>
    </row>
    <row r="1212" spans="6:33" s="46" customFormat="1" x14ac:dyDescent="0.2">
      <c r="F1212" s="980"/>
      <c r="I1212" s="988"/>
      <c r="AG1212" s="57"/>
    </row>
    <row r="1213" spans="6:33" s="46" customFormat="1" x14ac:dyDescent="0.2">
      <c r="F1213" s="980"/>
      <c r="I1213" s="988"/>
      <c r="AG1213" s="57"/>
    </row>
    <row r="1214" spans="6:33" s="46" customFormat="1" x14ac:dyDescent="0.2">
      <c r="F1214" s="980"/>
      <c r="I1214" s="988"/>
      <c r="AG1214" s="57"/>
    </row>
    <row r="1215" spans="6:33" s="46" customFormat="1" x14ac:dyDescent="0.2">
      <c r="F1215" s="980"/>
      <c r="I1215" s="988"/>
      <c r="AG1215" s="57"/>
    </row>
    <row r="1216" spans="6:33" s="46" customFormat="1" x14ac:dyDescent="0.2">
      <c r="F1216" s="980"/>
      <c r="I1216" s="988"/>
      <c r="AG1216" s="57"/>
    </row>
    <row r="1217" spans="6:33" s="46" customFormat="1" x14ac:dyDescent="0.2">
      <c r="F1217" s="980"/>
      <c r="I1217" s="988"/>
      <c r="AG1217" s="57"/>
    </row>
    <row r="1218" spans="6:33" s="46" customFormat="1" x14ac:dyDescent="0.2">
      <c r="F1218" s="980"/>
      <c r="I1218" s="988"/>
      <c r="AG1218" s="57"/>
    </row>
    <row r="1219" spans="6:33" s="46" customFormat="1" x14ac:dyDescent="0.2">
      <c r="F1219" s="980"/>
      <c r="I1219" s="988"/>
      <c r="AG1219" s="57"/>
    </row>
    <row r="1220" spans="6:33" s="46" customFormat="1" x14ac:dyDescent="0.2">
      <c r="F1220" s="980"/>
      <c r="I1220" s="988"/>
      <c r="AG1220" s="57"/>
    </row>
    <row r="1221" spans="6:33" s="46" customFormat="1" x14ac:dyDescent="0.2">
      <c r="F1221" s="980"/>
      <c r="I1221" s="988"/>
      <c r="AG1221" s="57"/>
    </row>
    <row r="1222" spans="6:33" s="46" customFormat="1" x14ac:dyDescent="0.2">
      <c r="F1222" s="980"/>
      <c r="I1222" s="988"/>
      <c r="AG1222" s="57"/>
    </row>
    <row r="1223" spans="6:33" s="46" customFormat="1" x14ac:dyDescent="0.2">
      <c r="F1223" s="980"/>
      <c r="I1223" s="988"/>
      <c r="AG1223" s="57"/>
    </row>
    <row r="1224" spans="6:33" s="46" customFormat="1" x14ac:dyDescent="0.2">
      <c r="F1224" s="980"/>
      <c r="I1224" s="988"/>
      <c r="AG1224" s="57"/>
    </row>
    <row r="1225" spans="6:33" s="46" customFormat="1" x14ac:dyDescent="0.2">
      <c r="F1225" s="980"/>
      <c r="I1225" s="988"/>
      <c r="AG1225" s="57"/>
    </row>
    <row r="1226" spans="6:33" s="46" customFormat="1" x14ac:dyDescent="0.2">
      <c r="F1226" s="980"/>
      <c r="I1226" s="988"/>
      <c r="AG1226" s="57"/>
    </row>
    <row r="1227" spans="6:33" s="46" customFormat="1" x14ac:dyDescent="0.2">
      <c r="F1227" s="980"/>
      <c r="I1227" s="988"/>
      <c r="AG1227" s="57"/>
    </row>
    <row r="1228" spans="6:33" s="46" customFormat="1" x14ac:dyDescent="0.2">
      <c r="F1228" s="980"/>
      <c r="I1228" s="988"/>
      <c r="AG1228" s="57"/>
    </row>
    <row r="1229" spans="6:33" s="46" customFormat="1" x14ac:dyDescent="0.2">
      <c r="F1229" s="980"/>
      <c r="I1229" s="988"/>
      <c r="AG1229" s="57"/>
    </row>
    <row r="1230" spans="6:33" s="46" customFormat="1" x14ac:dyDescent="0.2">
      <c r="F1230" s="980"/>
      <c r="I1230" s="988"/>
      <c r="AG1230" s="57"/>
    </row>
    <row r="1231" spans="6:33" s="46" customFormat="1" x14ac:dyDescent="0.2">
      <c r="F1231" s="980"/>
      <c r="I1231" s="988"/>
      <c r="AG1231" s="57"/>
    </row>
    <row r="1232" spans="6:33" s="46" customFormat="1" x14ac:dyDescent="0.2">
      <c r="F1232" s="980"/>
      <c r="I1232" s="988"/>
      <c r="AG1232" s="57"/>
    </row>
    <row r="1233" spans="6:33" s="46" customFormat="1" x14ac:dyDescent="0.2">
      <c r="F1233" s="980"/>
      <c r="I1233" s="988"/>
      <c r="AG1233" s="57"/>
    </row>
    <row r="1234" spans="6:33" s="46" customFormat="1" x14ac:dyDescent="0.2">
      <c r="F1234" s="980"/>
      <c r="I1234" s="988"/>
      <c r="AG1234" s="57"/>
    </row>
    <row r="1235" spans="6:33" s="46" customFormat="1" x14ac:dyDescent="0.2">
      <c r="F1235" s="980"/>
      <c r="I1235" s="988"/>
      <c r="AG1235" s="57"/>
    </row>
    <row r="1236" spans="6:33" s="46" customFormat="1" x14ac:dyDescent="0.2">
      <c r="F1236" s="980"/>
      <c r="I1236" s="988"/>
      <c r="AG1236" s="57"/>
    </row>
    <row r="1237" spans="6:33" s="46" customFormat="1" x14ac:dyDescent="0.2">
      <c r="F1237" s="980"/>
      <c r="I1237" s="988"/>
      <c r="AG1237" s="57"/>
    </row>
    <row r="1238" spans="6:33" s="46" customFormat="1" x14ac:dyDescent="0.2">
      <c r="F1238" s="980"/>
      <c r="I1238" s="988"/>
      <c r="AG1238" s="57"/>
    </row>
    <row r="1239" spans="6:33" s="46" customFormat="1" x14ac:dyDescent="0.2">
      <c r="F1239" s="980"/>
      <c r="I1239" s="988"/>
      <c r="AG1239" s="57"/>
    </row>
    <row r="1240" spans="6:33" s="46" customFormat="1" x14ac:dyDescent="0.2">
      <c r="F1240" s="980"/>
      <c r="I1240" s="988"/>
      <c r="AG1240" s="57"/>
    </row>
    <row r="1241" spans="6:33" s="46" customFormat="1" x14ac:dyDescent="0.2">
      <c r="F1241" s="980"/>
      <c r="I1241" s="988"/>
      <c r="AG1241" s="57"/>
    </row>
    <row r="1242" spans="6:33" s="46" customFormat="1" x14ac:dyDescent="0.2">
      <c r="F1242" s="980"/>
      <c r="I1242" s="988"/>
      <c r="AG1242" s="57"/>
    </row>
    <row r="1243" spans="6:33" s="46" customFormat="1" x14ac:dyDescent="0.2">
      <c r="F1243" s="980"/>
      <c r="I1243" s="988"/>
      <c r="AG1243" s="57"/>
    </row>
    <row r="1244" spans="6:33" s="46" customFormat="1" x14ac:dyDescent="0.2">
      <c r="F1244" s="980"/>
      <c r="I1244" s="988"/>
      <c r="AG1244" s="57"/>
    </row>
    <row r="1245" spans="6:33" s="46" customFormat="1" x14ac:dyDescent="0.2">
      <c r="F1245" s="980"/>
      <c r="I1245" s="988"/>
      <c r="AG1245" s="57"/>
    </row>
    <row r="1246" spans="6:33" s="46" customFormat="1" x14ac:dyDescent="0.2">
      <c r="F1246" s="980"/>
      <c r="I1246" s="988"/>
      <c r="AG1246" s="57"/>
    </row>
    <row r="1247" spans="6:33" s="46" customFormat="1" x14ac:dyDescent="0.2">
      <c r="F1247" s="980"/>
      <c r="I1247" s="988"/>
      <c r="AG1247" s="57"/>
    </row>
    <row r="1248" spans="6:33" s="46" customFormat="1" x14ac:dyDescent="0.2">
      <c r="F1248" s="980"/>
      <c r="I1248" s="988"/>
      <c r="AG1248" s="57"/>
    </row>
    <row r="1249" spans="6:33" s="46" customFormat="1" x14ac:dyDescent="0.2">
      <c r="F1249" s="980"/>
      <c r="I1249" s="988"/>
      <c r="AG1249" s="57"/>
    </row>
    <row r="1250" spans="6:33" s="46" customFormat="1" x14ac:dyDescent="0.2">
      <c r="F1250" s="980"/>
      <c r="I1250" s="988"/>
      <c r="AG1250" s="57"/>
    </row>
    <row r="1251" spans="6:33" s="46" customFormat="1" x14ac:dyDescent="0.2">
      <c r="F1251" s="980"/>
      <c r="I1251" s="988"/>
      <c r="AG1251" s="57"/>
    </row>
    <row r="1252" spans="6:33" s="46" customFormat="1" x14ac:dyDescent="0.2">
      <c r="F1252" s="980"/>
      <c r="I1252" s="988"/>
      <c r="AG1252" s="57"/>
    </row>
    <row r="1253" spans="6:33" s="46" customFormat="1" x14ac:dyDescent="0.2">
      <c r="F1253" s="980"/>
      <c r="I1253" s="988"/>
      <c r="AG1253" s="57"/>
    </row>
    <row r="1254" spans="6:33" s="46" customFormat="1" x14ac:dyDescent="0.2">
      <c r="F1254" s="980"/>
      <c r="I1254" s="988"/>
      <c r="AG1254" s="57"/>
    </row>
    <row r="1255" spans="6:33" s="46" customFormat="1" x14ac:dyDescent="0.2">
      <c r="F1255" s="980"/>
      <c r="I1255" s="988"/>
      <c r="AG1255" s="57"/>
    </row>
    <row r="1256" spans="6:33" s="46" customFormat="1" x14ac:dyDescent="0.2">
      <c r="F1256" s="980"/>
      <c r="I1256" s="988"/>
      <c r="AG1256" s="57"/>
    </row>
    <row r="1257" spans="6:33" s="46" customFormat="1" x14ac:dyDescent="0.2">
      <c r="F1257" s="980"/>
      <c r="I1257" s="988"/>
      <c r="AG1257" s="57"/>
    </row>
    <row r="1258" spans="6:33" s="46" customFormat="1" x14ac:dyDescent="0.2">
      <c r="F1258" s="980"/>
      <c r="I1258" s="988"/>
      <c r="AG1258" s="57"/>
    </row>
    <row r="1259" spans="6:33" s="46" customFormat="1" x14ac:dyDescent="0.2">
      <c r="F1259" s="980"/>
      <c r="I1259" s="988"/>
      <c r="AG1259" s="57"/>
    </row>
    <row r="1260" spans="6:33" s="46" customFormat="1" x14ac:dyDescent="0.2">
      <c r="F1260" s="980"/>
      <c r="I1260" s="988"/>
      <c r="AG1260" s="57"/>
    </row>
    <row r="1261" spans="6:33" s="46" customFormat="1" x14ac:dyDescent="0.2">
      <c r="F1261" s="980"/>
      <c r="I1261" s="988"/>
      <c r="AG1261" s="57"/>
    </row>
    <row r="1262" spans="6:33" s="46" customFormat="1" x14ac:dyDescent="0.2">
      <c r="F1262" s="980"/>
      <c r="I1262" s="988"/>
      <c r="AG1262" s="57"/>
    </row>
    <row r="1263" spans="6:33" s="46" customFormat="1" x14ac:dyDescent="0.2">
      <c r="F1263" s="980"/>
      <c r="I1263" s="988"/>
      <c r="AG1263" s="57"/>
    </row>
    <row r="1264" spans="6:33" s="46" customFormat="1" x14ac:dyDescent="0.2">
      <c r="F1264" s="980"/>
      <c r="I1264" s="988"/>
      <c r="AG1264" s="57"/>
    </row>
    <row r="1265" spans="6:33" s="46" customFormat="1" x14ac:dyDescent="0.2">
      <c r="F1265" s="980"/>
      <c r="I1265" s="988"/>
      <c r="AG1265" s="57"/>
    </row>
    <row r="1266" spans="6:33" s="46" customFormat="1" x14ac:dyDescent="0.2">
      <c r="F1266" s="980"/>
      <c r="I1266" s="988"/>
      <c r="AG1266" s="57"/>
    </row>
    <row r="1267" spans="6:33" s="46" customFormat="1" x14ac:dyDescent="0.2">
      <c r="F1267" s="980"/>
      <c r="I1267" s="988"/>
      <c r="AG1267" s="57"/>
    </row>
    <row r="1268" spans="6:33" s="46" customFormat="1" x14ac:dyDescent="0.2">
      <c r="F1268" s="980"/>
      <c r="I1268" s="988"/>
      <c r="AG1268" s="57"/>
    </row>
    <row r="1269" spans="6:33" s="46" customFormat="1" x14ac:dyDescent="0.2">
      <c r="F1269" s="980"/>
      <c r="I1269" s="988"/>
      <c r="AG1269" s="57"/>
    </row>
    <row r="1270" spans="6:33" s="46" customFormat="1" x14ac:dyDescent="0.2">
      <c r="F1270" s="980"/>
      <c r="I1270" s="988"/>
      <c r="AG1270" s="57"/>
    </row>
    <row r="1271" spans="6:33" s="46" customFormat="1" x14ac:dyDescent="0.2">
      <c r="F1271" s="980"/>
      <c r="I1271" s="988"/>
      <c r="AG1271" s="57"/>
    </row>
    <row r="1272" spans="6:33" s="46" customFormat="1" x14ac:dyDescent="0.2">
      <c r="F1272" s="980"/>
      <c r="I1272" s="988"/>
      <c r="AG1272" s="57"/>
    </row>
    <row r="1273" spans="6:33" s="46" customFormat="1" x14ac:dyDescent="0.2">
      <c r="F1273" s="980"/>
      <c r="I1273" s="988"/>
      <c r="AG1273" s="57"/>
    </row>
    <row r="1274" spans="6:33" s="46" customFormat="1" x14ac:dyDescent="0.2">
      <c r="F1274" s="980"/>
      <c r="I1274" s="988"/>
      <c r="AG1274" s="57"/>
    </row>
    <row r="1275" spans="6:33" s="46" customFormat="1" x14ac:dyDescent="0.2">
      <c r="F1275" s="980"/>
      <c r="I1275" s="988"/>
      <c r="AG1275" s="57"/>
    </row>
    <row r="1276" spans="6:33" s="46" customFormat="1" x14ac:dyDescent="0.2">
      <c r="F1276" s="980"/>
      <c r="I1276" s="988"/>
      <c r="AG1276" s="57"/>
    </row>
    <row r="1277" spans="6:33" s="46" customFormat="1" x14ac:dyDescent="0.2">
      <c r="F1277" s="980"/>
      <c r="I1277" s="988"/>
      <c r="AG1277" s="57"/>
    </row>
    <row r="1278" spans="6:33" s="46" customFormat="1" x14ac:dyDescent="0.2">
      <c r="F1278" s="980"/>
      <c r="I1278" s="988"/>
      <c r="AG1278" s="57"/>
    </row>
    <row r="1279" spans="6:33" s="46" customFormat="1" x14ac:dyDescent="0.2">
      <c r="F1279" s="980"/>
      <c r="I1279" s="988"/>
      <c r="AG1279" s="57"/>
    </row>
    <row r="1280" spans="6:33" s="46" customFormat="1" x14ac:dyDescent="0.2">
      <c r="F1280" s="980"/>
      <c r="I1280" s="988"/>
      <c r="AG1280" s="57"/>
    </row>
    <row r="1281" spans="6:33" s="46" customFormat="1" x14ac:dyDescent="0.2">
      <c r="F1281" s="980"/>
      <c r="I1281" s="988"/>
      <c r="AG1281" s="57"/>
    </row>
    <row r="1282" spans="6:33" s="46" customFormat="1" x14ac:dyDescent="0.2">
      <c r="F1282" s="980"/>
      <c r="I1282" s="988"/>
      <c r="AG1282" s="57"/>
    </row>
    <row r="1283" spans="6:33" s="46" customFormat="1" x14ac:dyDescent="0.2">
      <c r="F1283" s="980"/>
      <c r="I1283" s="988"/>
      <c r="AG1283" s="57"/>
    </row>
    <row r="1284" spans="6:33" s="46" customFormat="1" x14ac:dyDescent="0.2">
      <c r="F1284" s="980"/>
      <c r="I1284" s="988"/>
      <c r="AG1284" s="57"/>
    </row>
    <row r="1285" spans="6:33" s="46" customFormat="1" x14ac:dyDescent="0.2">
      <c r="F1285" s="980"/>
      <c r="I1285" s="988"/>
      <c r="AG1285" s="57"/>
    </row>
    <row r="1286" spans="6:33" s="46" customFormat="1" x14ac:dyDescent="0.2">
      <c r="F1286" s="980"/>
      <c r="I1286" s="988"/>
      <c r="AG1286" s="57"/>
    </row>
    <row r="1287" spans="6:33" s="46" customFormat="1" x14ac:dyDescent="0.2">
      <c r="F1287" s="980"/>
      <c r="I1287" s="988"/>
      <c r="AG1287" s="57"/>
    </row>
    <row r="1288" spans="6:33" s="46" customFormat="1" x14ac:dyDescent="0.2">
      <c r="F1288" s="980"/>
      <c r="I1288" s="988"/>
      <c r="AG1288" s="57"/>
    </row>
    <row r="1289" spans="6:33" s="46" customFormat="1" x14ac:dyDescent="0.2">
      <c r="F1289" s="980"/>
      <c r="I1289" s="988"/>
      <c r="AG1289" s="57"/>
    </row>
    <row r="1290" spans="6:33" s="46" customFormat="1" x14ac:dyDescent="0.2">
      <c r="F1290" s="980"/>
      <c r="I1290" s="988"/>
      <c r="AG1290" s="57"/>
    </row>
    <row r="1291" spans="6:33" s="46" customFormat="1" x14ac:dyDescent="0.2">
      <c r="F1291" s="980"/>
      <c r="I1291" s="988"/>
      <c r="AG1291" s="57"/>
    </row>
    <row r="1292" spans="6:33" s="46" customFormat="1" x14ac:dyDescent="0.2">
      <c r="F1292" s="980"/>
      <c r="I1292" s="988"/>
      <c r="AG1292" s="57"/>
    </row>
    <row r="1293" spans="6:33" s="46" customFormat="1" x14ac:dyDescent="0.2">
      <c r="F1293" s="980"/>
      <c r="I1293" s="988"/>
      <c r="AG1293" s="57"/>
    </row>
    <row r="1294" spans="6:33" s="46" customFormat="1" x14ac:dyDescent="0.2">
      <c r="F1294" s="980"/>
      <c r="I1294" s="988"/>
      <c r="AG1294" s="57"/>
    </row>
    <row r="1295" spans="6:33" s="46" customFormat="1" x14ac:dyDescent="0.2">
      <c r="F1295" s="980"/>
      <c r="I1295" s="988"/>
      <c r="AG1295" s="57"/>
    </row>
    <row r="1296" spans="6:33" s="46" customFormat="1" x14ac:dyDescent="0.2">
      <c r="F1296" s="980"/>
      <c r="I1296" s="988"/>
      <c r="AG1296" s="57"/>
    </row>
    <row r="1297" spans="6:33" s="46" customFormat="1" x14ac:dyDescent="0.2">
      <c r="F1297" s="980"/>
      <c r="I1297" s="988"/>
      <c r="AG1297" s="57"/>
    </row>
    <row r="1298" spans="6:33" s="46" customFormat="1" x14ac:dyDescent="0.2">
      <c r="F1298" s="980"/>
      <c r="I1298" s="988"/>
      <c r="AG1298" s="57"/>
    </row>
    <row r="1299" spans="6:33" s="46" customFormat="1" x14ac:dyDescent="0.2">
      <c r="F1299" s="980"/>
      <c r="I1299" s="988"/>
      <c r="AG1299" s="57"/>
    </row>
    <row r="1300" spans="6:33" s="46" customFormat="1" x14ac:dyDescent="0.2">
      <c r="F1300" s="980"/>
      <c r="I1300" s="988"/>
      <c r="AG1300" s="57"/>
    </row>
    <row r="1301" spans="6:33" s="46" customFormat="1" x14ac:dyDescent="0.2">
      <c r="F1301" s="980"/>
      <c r="I1301" s="988"/>
      <c r="AG1301" s="57"/>
    </row>
    <row r="1302" spans="6:33" s="46" customFormat="1" x14ac:dyDescent="0.2">
      <c r="F1302" s="980"/>
      <c r="I1302" s="988"/>
      <c r="AG1302" s="57"/>
    </row>
    <row r="1303" spans="6:33" s="46" customFormat="1" x14ac:dyDescent="0.2">
      <c r="F1303" s="980"/>
      <c r="I1303" s="988"/>
      <c r="AG1303" s="57"/>
    </row>
    <row r="1304" spans="6:33" s="46" customFormat="1" x14ac:dyDescent="0.2">
      <c r="F1304" s="980"/>
      <c r="I1304" s="988"/>
      <c r="AG1304" s="57"/>
    </row>
    <row r="1305" spans="6:33" s="46" customFormat="1" x14ac:dyDescent="0.2">
      <c r="F1305" s="980"/>
      <c r="I1305" s="988"/>
      <c r="AG1305" s="57"/>
    </row>
    <row r="1306" spans="6:33" s="46" customFormat="1" x14ac:dyDescent="0.2">
      <c r="F1306" s="980"/>
      <c r="I1306" s="988"/>
      <c r="AG1306" s="57"/>
    </row>
    <row r="1307" spans="6:33" s="46" customFormat="1" x14ac:dyDescent="0.2">
      <c r="F1307" s="980"/>
      <c r="I1307" s="988"/>
      <c r="AG1307" s="57"/>
    </row>
    <row r="1308" spans="6:33" s="46" customFormat="1" x14ac:dyDescent="0.2">
      <c r="F1308" s="980"/>
      <c r="I1308" s="988"/>
      <c r="AG1308" s="57"/>
    </row>
    <row r="1309" spans="6:33" s="46" customFormat="1" x14ac:dyDescent="0.2">
      <c r="F1309" s="980"/>
      <c r="I1309" s="988"/>
      <c r="AG1309" s="57"/>
    </row>
    <row r="1310" spans="6:33" s="46" customFormat="1" x14ac:dyDescent="0.2">
      <c r="F1310" s="980"/>
      <c r="I1310" s="988"/>
      <c r="AG1310" s="57"/>
    </row>
    <row r="1311" spans="6:33" s="46" customFormat="1" x14ac:dyDescent="0.2">
      <c r="F1311" s="980"/>
      <c r="I1311" s="988"/>
      <c r="AG1311" s="57"/>
    </row>
    <row r="1312" spans="6:33" s="46" customFormat="1" x14ac:dyDescent="0.2">
      <c r="F1312" s="980"/>
      <c r="I1312" s="988"/>
      <c r="AG1312" s="57"/>
    </row>
    <row r="1313" spans="1:33" s="46" customFormat="1" x14ac:dyDescent="0.2">
      <c r="F1313" s="980"/>
      <c r="I1313" s="988"/>
      <c r="AG1313" s="57"/>
    </row>
    <row r="1314" spans="1:33" s="46" customFormat="1" x14ac:dyDescent="0.2">
      <c r="F1314" s="980"/>
      <c r="I1314" s="988"/>
      <c r="AG1314" s="57"/>
    </row>
    <row r="1315" spans="1:33" s="46" customFormat="1" x14ac:dyDescent="0.2">
      <c r="F1315" s="980"/>
      <c r="I1315" s="988"/>
      <c r="AG1315" s="57"/>
    </row>
    <row r="1316" spans="1:33" s="46" customFormat="1" x14ac:dyDescent="0.2">
      <c r="F1316" s="980"/>
      <c r="I1316" s="988"/>
      <c r="AG1316" s="57"/>
    </row>
    <row r="1317" spans="1:33" s="46" customFormat="1" x14ac:dyDescent="0.2">
      <c r="F1317" s="980"/>
      <c r="I1317" s="988"/>
      <c r="AG1317" s="57"/>
    </row>
    <row r="1318" spans="1:33" s="46" customFormat="1" x14ac:dyDescent="0.2">
      <c r="F1318" s="980"/>
      <c r="I1318" s="988"/>
      <c r="AG1318" s="57"/>
    </row>
    <row r="1319" spans="1:33" x14ac:dyDescent="0.2">
      <c r="A1319" s="57"/>
      <c r="B1319" s="57"/>
      <c r="C1319" s="57"/>
      <c r="D1319" s="57"/>
      <c r="E1319" s="57"/>
    </row>
    <row r="1320" spans="1:33" x14ac:dyDescent="0.2">
      <c r="A1320" s="57"/>
      <c r="B1320" s="57"/>
      <c r="C1320" s="57"/>
      <c r="D1320" s="57"/>
      <c r="E1320" s="57"/>
    </row>
    <row r="1321" spans="1:33" x14ac:dyDescent="0.2">
      <c r="A1321" s="57"/>
      <c r="B1321" s="57"/>
      <c r="C1321" s="57"/>
      <c r="D1321" s="57"/>
      <c r="E1321" s="57"/>
    </row>
    <row r="1322" spans="1:33" x14ac:dyDescent="0.2">
      <c r="A1322" s="57"/>
      <c r="B1322" s="57"/>
      <c r="C1322" s="57"/>
      <c r="D1322" s="57"/>
      <c r="E1322" s="57"/>
    </row>
    <row r="1323" spans="1:33" x14ac:dyDescent="0.2">
      <c r="A1323" s="57"/>
      <c r="B1323" s="57"/>
      <c r="C1323" s="57"/>
      <c r="D1323" s="57"/>
      <c r="E1323" s="57"/>
    </row>
    <row r="1324" spans="1:33" x14ac:dyDescent="0.2">
      <c r="A1324" s="57"/>
      <c r="B1324" s="57"/>
      <c r="C1324" s="57"/>
      <c r="D1324" s="57"/>
      <c r="E1324" s="57"/>
    </row>
    <row r="1325" spans="1:33" x14ac:dyDescent="0.2">
      <c r="A1325" s="57"/>
      <c r="B1325" s="57"/>
      <c r="C1325" s="57"/>
      <c r="D1325" s="57"/>
      <c r="E1325" s="57"/>
    </row>
    <row r="1326" spans="1:33" x14ac:dyDescent="0.2">
      <c r="A1326" s="57"/>
      <c r="B1326" s="57"/>
      <c r="C1326" s="57"/>
      <c r="D1326" s="57"/>
      <c r="E1326" s="57"/>
    </row>
    <row r="1327" spans="1:33" x14ac:dyDescent="0.2">
      <c r="A1327" s="57"/>
      <c r="B1327" s="57"/>
      <c r="C1327" s="57"/>
      <c r="D1327" s="57"/>
      <c r="E1327" s="57"/>
    </row>
    <row r="1328" spans="1:33" x14ac:dyDescent="0.2">
      <c r="A1328" s="57"/>
      <c r="B1328" s="57"/>
      <c r="C1328" s="57"/>
      <c r="D1328" s="57"/>
      <c r="E1328" s="57"/>
    </row>
    <row r="1329" spans="1:32" x14ac:dyDescent="0.2">
      <c r="A1329" s="57"/>
      <c r="B1329" s="57"/>
      <c r="C1329" s="57"/>
      <c r="D1329" s="57"/>
      <c r="E1329" s="57"/>
      <c r="F1329" s="985"/>
      <c r="G1329" s="57"/>
      <c r="H1329" s="57"/>
      <c r="I1329" s="990"/>
      <c r="J1329" s="57"/>
      <c r="K1329" s="57"/>
      <c r="L1329" s="57"/>
      <c r="M1329" s="57"/>
      <c r="N1329" s="57"/>
      <c r="O1329" s="57"/>
      <c r="P1329" s="57"/>
      <c r="Q1329" s="57"/>
      <c r="R1329" s="57"/>
      <c r="S1329" s="57"/>
      <c r="T1329" s="57"/>
      <c r="U1329" s="57"/>
      <c r="V1329" s="57"/>
      <c r="W1329" s="57"/>
      <c r="X1329" s="57"/>
      <c r="Y1329" s="57"/>
      <c r="Z1329" s="57"/>
      <c r="AA1329" s="57"/>
      <c r="AB1329" s="57"/>
      <c r="AC1329" s="57"/>
      <c r="AD1329" s="57"/>
      <c r="AE1329" s="57"/>
      <c r="AF1329" s="57"/>
    </row>
    <row r="1330" spans="1:32" x14ac:dyDescent="0.2">
      <c r="A1330" s="57"/>
      <c r="B1330" s="57"/>
      <c r="C1330" s="57"/>
      <c r="D1330" s="57"/>
      <c r="E1330" s="57"/>
      <c r="F1330" s="985"/>
      <c r="G1330" s="57"/>
      <c r="H1330" s="57"/>
      <c r="I1330" s="990"/>
      <c r="J1330" s="57"/>
      <c r="K1330" s="57"/>
      <c r="L1330" s="57"/>
      <c r="M1330" s="57"/>
      <c r="N1330" s="57"/>
      <c r="O1330" s="57"/>
      <c r="P1330" s="57"/>
      <c r="Q1330" s="57"/>
      <c r="R1330" s="57"/>
      <c r="S1330" s="57"/>
      <c r="T1330" s="57"/>
      <c r="U1330" s="57"/>
      <c r="V1330" s="57"/>
      <c r="W1330" s="57"/>
      <c r="X1330" s="57"/>
      <c r="Y1330" s="57"/>
      <c r="Z1330" s="57"/>
      <c r="AA1330" s="57"/>
      <c r="AB1330" s="57"/>
      <c r="AC1330" s="57"/>
      <c r="AD1330" s="57"/>
      <c r="AE1330" s="57"/>
      <c r="AF1330" s="57"/>
    </row>
    <row r="1331" spans="1:32" x14ac:dyDescent="0.2">
      <c r="A1331" s="57"/>
      <c r="B1331" s="57"/>
      <c r="C1331" s="57"/>
      <c r="D1331" s="57"/>
      <c r="E1331" s="57"/>
      <c r="F1331" s="985"/>
      <c r="G1331" s="57"/>
      <c r="H1331" s="57"/>
      <c r="I1331" s="990"/>
      <c r="J1331" s="57"/>
      <c r="K1331" s="57"/>
      <c r="L1331" s="57"/>
      <c r="M1331" s="57"/>
      <c r="N1331" s="57"/>
      <c r="O1331" s="57"/>
      <c r="P1331" s="57"/>
      <c r="Q1331" s="57"/>
      <c r="R1331" s="57"/>
      <c r="S1331" s="57"/>
      <c r="T1331" s="57"/>
      <c r="U1331" s="57"/>
      <c r="V1331" s="57"/>
      <c r="W1331" s="57"/>
      <c r="X1331" s="57"/>
      <c r="Y1331" s="57"/>
      <c r="Z1331" s="57"/>
      <c r="AA1331" s="57"/>
      <c r="AB1331" s="57"/>
      <c r="AC1331" s="57"/>
      <c r="AD1331" s="57"/>
      <c r="AE1331" s="57"/>
      <c r="AF1331" s="57"/>
    </row>
    <row r="1332" spans="1:32" x14ac:dyDescent="0.2">
      <c r="A1332" s="57"/>
      <c r="B1332" s="57"/>
      <c r="C1332" s="57"/>
      <c r="D1332" s="57"/>
      <c r="E1332" s="57"/>
      <c r="F1332" s="985"/>
      <c r="G1332" s="57"/>
      <c r="H1332" s="57"/>
      <c r="I1332" s="990"/>
      <c r="J1332" s="57"/>
      <c r="K1332" s="57"/>
      <c r="L1332" s="57"/>
      <c r="M1332" s="57"/>
      <c r="N1332" s="57"/>
      <c r="O1332" s="57"/>
      <c r="P1332" s="57"/>
      <c r="Q1332" s="57"/>
      <c r="R1332" s="57"/>
      <c r="S1332" s="57"/>
      <c r="T1332" s="57"/>
      <c r="U1332" s="57"/>
      <c r="V1332" s="57"/>
      <c r="W1332" s="57"/>
      <c r="X1332" s="57"/>
      <c r="Y1332" s="57"/>
      <c r="Z1332" s="57"/>
      <c r="AA1332" s="57"/>
      <c r="AB1332" s="57"/>
      <c r="AC1332" s="57"/>
      <c r="AD1332" s="57"/>
      <c r="AE1332" s="57"/>
      <c r="AF1332" s="57"/>
    </row>
    <row r="1333" spans="1:32" x14ac:dyDescent="0.2">
      <c r="A1333" s="57"/>
      <c r="B1333" s="57"/>
      <c r="C1333" s="57"/>
      <c r="D1333" s="57"/>
      <c r="E1333" s="57"/>
      <c r="F1333" s="985"/>
      <c r="G1333" s="57"/>
      <c r="H1333" s="57"/>
      <c r="I1333" s="990"/>
      <c r="J1333" s="57"/>
      <c r="K1333" s="57"/>
      <c r="L1333" s="57"/>
      <c r="M1333" s="57"/>
      <c r="N1333" s="57"/>
      <c r="O1333" s="57"/>
      <c r="P1333" s="57"/>
      <c r="Q1333" s="57"/>
      <c r="R1333" s="57"/>
      <c r="S1333" s="57"/>
      <c r="T1333" s="57"/>
      <c r="U1333" s="57"/>
      <c r="V1333" s="57"/>
      <c r="W1333" s="57"/>
      <c r="X1333" s="57"/>
      <c r="Y1333" s="57"/>
      <c r="Z1333" s="57"/>
      <c r="AA1333" s="57"/>
      <c r="AB1333" s="57"/>
      <c r="AC1333" s="57"/>
      <c r="AD1333" s="57"/>
      <c r="AE1333" s="57"/>
      <c r="AF1333" s="57"/>
    </row>
    <row r="1334" spans="1:32" x14ac:dyDescent="0.2">
      <c r="A1334" s="57"/>
      <c r="B1334" s="57"/>
      <c r="C1334" s="57"/>
      <c r="D1334" s="57"/>
      <c r="E1334" s="57"/>
      <c r="F1334" s="985"/>
      <c r="G1334" s="57"/>
      <c r="H1334" s="57"/>
      <c r="I1334" s="990"/>
      <c r="J1334" s="57"/>
      <c r="K1334" s="57"/>
      <c r="L1334" s="57"/>
      <c r="M1334" s="57"/>
      <c r="N1334" s="57"/>
      <c r="O1334" s="57"/>
      <c r="P1334" s="57"/>
      <c r="Q1334" s="57"/>
      <c r="R1334" s="57"/>
      <c r="S1334" s="57"/>
      <c r="T1334" s="57"/>
      <c r="U1334" s="57"/>
      <c r="V1334" s="57"/>
      <c r="W1334" s="57"/>
      <c r="X1334" s="57"/>
      <c r="Y1334" s="57"/>
      <c r="Z1334" s="57"/>
      <c r="AA1334" s="57"/>
      <c r="AB1334" s="57"/>
      <c r="AC1334" s="57"/>
      <c r="AD1334" s="57"/>
      <c r="AE1334" s="57"/>
      <c r="AF1334" s="57"/>
    </row>
    <row r="1335" spans="1:32" x14ac:dyDescent="0.2">
      <c r="A1335" s="57"/>
      <c r="B1335" s="57"/>
      <c r="C1335" s="57"/>
      <c r="D1335" s="57"/>
      <c r="E1335" s="57"/>
      <c r="F1335" s="985"/>
      <c r="G1335" s="57"/>
      <c r="H1335" s="57"/>
      <c r="I1335" s="990"/>
      <c r="J1335" s="57"/>
      <c r="K1335" s="57"/>
      <c r="L1335" s="57"/>
      <c r="M1335" s="57"/>
      <c r="N1335" s="57"/>
      <c r="O1335" s="57"/>
      <c r="P1335" s="57"/>
      <c r="Q1335" s="57"/>
      <c r="R1335" s="57"/>
      <c r="S1335" s="57"/>
      <c r="T1335" s="57"/>
      <c r="U1335" s="57"/>
      <c r="V1335" s="57"/>
      <c r="W1335" s="57"/>
      <c r="X1335" s="57"/>
      <c r="Y1335" s="57"/>
      <c r="Z1335" s="57"/>
      <c r="AA1335" s="57"/>
      <c r="AB1335" s="57"/>
      <c r="AC1335" s="57"/>
      <c r="AD1335" s="57"/>
      <c r="AE1335" s="57"/>
      <c r="AF1335" s="57"/>
    </row>
    <row r="1336" spans="1:32" x14ac:dyDescent="0.2">
      <c r="A1336" s="57"/>
      <c r="B1336" s="57"/>
      <c r="C1336" s="57"/>
      <c r="D1336" s="57"/>
      <c r="E1336" s="57"/>
      <c r="F1336" s="985"/>
      <c r="G1336" s="57"/>
      <c r="H1336" s="57"/>
      <c r="I1336" s="990"/>
      <c r="J1336" s="57"/>
      <c r="K1336" s="57"/>
      <c r="L1336" s="57"/>
      <c r="M1336" s="57"/>
      <c r="N1336" s="57"/>
      <c r="O1336" s="57"/>
      <c r="P1336" s="57"/>
      <c r="Q1336" s="57"/>
      <c r="R1336" s="57"/>
      <c r="S1336" s="57"/>
      <c r="T1336" s="57"/>
      <c r="U1336" s="57"/>
      <c r="V1336" s="57"/>
      <c r="W1336" s="57"/>
      <c r="X1336" s="57"/>
      <c r="Y1336" s="57"/>
      <c r="Z1336" s="57"/>
      <c r="AA1336" s="57"/>
      <c r="AB1336" s="57"/>
      <c r="AC1336" s="57"/>
      <c r="AD1336" s="57"/>
      <c r="AE1336" s="57"/>
      <c r="AF1336" s="57"/>
    </row>
    <row r="1337" spans="1:32" x14ac:dyDescent="0.2">
      <c r="A1337" s="57"/>
      <c r="B1337" s="57"/>
      <c r="C1337" s="57"/>
      <c r="D1337" s="57"/>
      <c r="E1337" s="57"/>
      <c r="F1337" s="985"/>
      <c r="G1337" s="57"/>
      <c r="H1337" s="57"/>
      <c r="I1337" s="990"/>
      <c r="J1337" s="57"/>
      <c r="K1337" s="57"/>
      <c r="L1337" s="57"/>
      <c r="M1337" s="57"/>
      <c r="N1337" s="57"/>
      <c r="O1337" s="57"/>
      <c r="P1337" s="57"/>
      <c r="Q1337" s="57"/>
      <c r="R1337" s="57"/>
      <c r="S1337" s="57"/>
      <c r="T1337" s="57"/>
      <c r="U1337" s="57"/>
      <c r="V1337" s="57"/>
      <c r="W1337" s="57"/>
      <c r="X1337" s="57"/>
      <c r="Y1337" s="57"/>
      <c r="Z1337" s="57"/>
      <c r="AA1337" s="57"/>
      <c r="AB1337" s="57"/>
      <c r="AC1337" s="57"/>
      <c r="AD1337" s="57"/>
      <c r="AE1337" s="57"/>
      <c r="AF1337" s="57"/>
    </row>
    <row r="1338" spans="1:32" x14ac:dyDescent="0.2">
      <c r="A1338" s="57"/>
      <c r="B1338" s="57"/>
      <c r="C1338" s="57"/>
      <c r="D1338" s="57"/>
      <c r="E1338" s="57"/>
      <c r="F1338" s="985"/>
      <c r="G1338" s="57"/>
      <c r="H1338" s="57"/>
      <c r="I1338" s="990"/>
      <c r="J1338" s="57"/>
      <c r="K1338" s="57"/>
      <c r="L1338" s="57"/>
      <c r="M1338" s="57"/>
      <c r="N1338" s="57"/>
      <c r="O1338" s="57"/>
      <c r="P1338" s="57"/>
      <c r="Q1338" s="57"/>
      <c r="R1338" s="57"/>
      <c r="S1338" s="57"/>
      <c r="T1338" s="57"/>
      <c r="U1338" s="57"/>
      <c r="V1338" s="57"/>
      <c r="W1338" s="57"/>
      <c r="X1338" s="57"/>
      <c r="Y1338" s="57"/>
      <c r="Z1338" s="57"/>
      <c r="AA1338" s="57"/>
      <c r="AB1338" s="57"/>
      <c r="AC1338" s="57"/>
      <c r="AD1338" s="57"/>
      <c r="AE1338" s="57"/>
      <c r="AF1338" s="57"/>
    </row>
    <row r="1339" spans="1:32" x14ac:dyDescent="0.2">
      <c r="A1339" s="57"/>
      <c r="B1339" s="57"/>
      <c r="C1339" s="57"/>
      <c r="D1339" s="57"/>
      <c r="E1339" s="57"/>
      <c r="F1339" s="985"/>
      <c r="G1339" s="57"/>
      <c r="H1339" s="57"/>
      <c r="I1339" s="990"/>
      <c r="J1339" s="57"/>
      <c r="K1339" s="57"/>
      <c r="L1339" s="57"/>
      <c r="M1339" s="57"/>
      <c r="N1339" s="57"/>
      <c r="O1339" s="57"/>
      <c r="P1339" s="57"/>
      <c r="Q1339" s="57"/>
      <c r="R1339" s="57"/>
      <c r="S1339" s="57"/>
      <c r="T1339" s="57"/>
      <c r="U1339" s="57"/>
      <c r="V1339" s="57"/>
      <c r="W1339" s="57"/>
      <c r="X1339" s="57"/>
      <c r="Y1339" s="57"/>
      <c r="Z1339" s="57"/>
      <c r="AA1339" s="57"/>
      <c r="AB1339" s="57"/>
      <c r="AC1339" s="57"/>
      <c r="AD1339" s="57"/>
      <c r="AE1339" s="57"/>
      <c r="AF1339" s="57"/>
    </row>
    <row r="1340" spans="1:32" x14ac:dyDescent="0.2">
      <c r="A1340" s="57"/>
      <c r="B1340" s="57"/>
      <c r="C1340" s="57"/>
      <c r="D1340" s="57"/>
      <c r="E1340" s="57"/>
      <c r="F1340" s="985"/>
      <c r="G1340" s="57"/>
      <c r="H1340" s="57"/>
      <c r="I1340" s="990"/>
      <c r="J1340" s="57"/>
      <c r="K1340" s="57"/>
      <c r="L1340" s="57"/>
      <c r="M1340" s="57"/>
      <c r="N1340" s="57"/>
      <c r="O1340" s="57"/>
      <c r="P1340" s="57"/>
      <c r="Q1340" s="57"/>
      <c r="R1340" s="57"/>
      <c r="S1340" s="57"/>
      <c r="T1340" s="57"/>
      <c r="U1340" s="57"/>
      <c r="V1340" s="57"/>
      <c r="W1340" s="57"/>
      <c r="X1340" s="57"/>
      <c r="Y1340" s="57"/>
      <c r="Z1340" s="57"/>
      <c r="AA1340" s="57"/>
      <c r="AB1340" s="57"/>
      <c r="AC1340" s="57"/>
      <c r="AD1340" s="57"/>
      <c r="AE1340" s="57"/>
      <c r="AF1340" s="57"/>
    </row>
    <row r="1341" spans="1:32" x14ac:dyDescent="0.2">
      <c r="A1341" s="57"/>
      <c r="B1341" s="57"/>
      <c r="C1341" s="57"/>
      <c r="D1341" s="57"/>
      <c r="E1341" s="57"/>
      <c r="F1341" s="985"/>
      <c r="G1341" s="57"/>
      <c r="H1341" s="57"/>
      <c r="I1341" s="990"/>
      <c r="J1341" s="57"/>
      <c r="K1341" s="57"/>
      <c r="L1341" s="57"/>
      <c r="M1341" s="57"/>
      <c r="N1341" s="57"/>
      <c r="O1341" s="57"/>
      <c r="P1341" s="57"/>
      <c r="Q1341" s="57"/>
      <c r="R1341" s="57"/>
      <c r="S1341" s="57"/>
      <c r="T1341" s="57"/>
      <c r="U1341" s="57"/>
      <c r="V1341" s="57"/>
      <c r="W1341" s="57"/>
      <c r="X1341" s="57"/>
      <c r="Y1341" s="57"/>
      <c r="Z1341" s="57"/>
      <c r="AA1341" s="57"/>
      <c r="AB1341" s="57"/>
      <c r="AC1341" s="57"/>
      <c r="AD1341" s="57"/>
      <c r="AE1341" s="57"/>
      <c r="AF1341" s="57"/>
    </row>
    <row r="1342" spans="1:32" x14ac:dyDescent="0.2">
      <c r="A1342" s="57"/>
      <c r="B1342" s="57"/>
      <c r="C1342" s="57"/>
      <c r="D1342" s="57"/>
      <c r="E1342" s="57"/>
      <c r="F1342" s="985"/>
      <c r="G1342" s="57"/>
      <c r="H1342" s="57"/>
      <c r="I1342" s="990"/>
      <c r="J1342" s="57"/>
      <c r="K1342" s="57"/>
      <c r="L1342" s="57"/>
      <c r="M1342" s="57"/>
      <c r="N1342" s="57"/>
      <c r="O1342" s="57"/>
      <c r="P1342" s="57"/>
      <c r="Q1342" s="57"/>
      <c r="R1342" s="57"/>
      <c r="S1342" s="57"/>
      <c r="T1342" s="57"/>
      <c r="U1342" s="57"/>
      <c r="V1342" s="57"/>
      <c r="W1342" s="57"/>
      <c r="X1342" s="57"/>
      <c r="Y1342" s="57"/>
      <c r="Z1342" s="57"/>
      <c r="AA1342" s="57"/>
      <c r="AB1342" s="57"/>
      <c r="AC1342" s="57"/>
      <c r="AD1342" s="57"/>
      <c r="AE1342" s="57"/>
      <c r="AF1342" s="57"/>
    </row>
    <row r="1343" spans="1:32" x14ac:dyDescent="0.2">
      <c r="A1343" s="57"/>
      <c r="B1343" s="57"/>
      <c r="C1343" s="57"/>
      <c r="D1343" s="57"/>
      <c r="E1343" s="57"/>
      <c r="F1343" s="985"/>
      <c r="G1343" s="57"/>
      <c r="H1343" s="57"/>
      <c r="I1343" s="990"/>
      <c r="J1343" s="57"/>
      <c r="K1343" s="57"/>
      <c r="L1343" s="57"/>
      <c r="M1343" s="57"/>
      <c r="N1343" s="57"/>
      <c r="O1343" s="57"/>
      <c r="P1343" s="57"/>
      <c r="Q1343" s="57"/>
      <c r="R1343" s="57"/>
      <c r="S1343" s="57"/>
      <c r="T1343" s="57"/>
      <c r="U1343" s="57"/>
      <c r="V1343" s="57"/>
      <c r="W1343" s="57"/>
      <c r="X1343" s="57"/>
      <c r="Y1343" s="57"/>
      <c r="Z1343" s="57"/>
      <c r="AA1343" s="57"/>
      <c r="AB1343" s="57"/>
      <c r="AC1343" s="57"/>
      <c r="AD1343" s="57"/>
      <c r="AE1343" s="57"/>
      <c r="AF1343" s="57"/>
    </row>
    <row r="1344" spans="1:32" x14ac:dyDescent="0.2">
      <c r="A1344" s="57"/>
      <c r="B1344" s="57"/>
      <c r="C1344" s="57"/>
      <c r="D1344" s="57"/>
      <c r="E1344" s="57"/>
      <c r="F1344" s="985"/>
      <c r="G1344" s="57"/>
      <c r="H1344" s="57"/>
      <c r="I1344" s="990"/>
      <c r="J1344" s="57"/>
      <c r="K1344" s="57"/>
      <c r="L1344" s="57"/>
      <c r="M1344" s="57"/>
      <c r="N1344" s="57"/>
      <c r="O1344" s="57"/>
      <c r="P1344" s="57"/>
      <c r="Q1344" s="57"/>
      <c r="R1344" s="57"/>
      <c r="S1344" s="57"/>
      <c r="T1344" s="57"/>
      <c r="U1344" s="57"/>
      <c r="V1344" s="57"/>
      <c r="W1344" s="57"/>
      <c r="X1344" s="57"/>
      <c r="Y1344" s="57"/>
      <c r="Z1344" s="57"/>
      <c r="AA1344" s="57"/>
      <c r="AB1344" s="57"/>
      <c r="AC1344" s="57"/>
      <c r="AD1344" s="57"/>
      <c r="AE1344" s="57"/>
      <c r="AF1344" s="57"/>
    </row>
    <row r="1345" spans="1:32" x14ac:dyDescent="0.2">
      <c r="A1345" s="57"/>
      <c r="B1345" s="57"/>
      <c r="C1345" s="57"/>
      <c r="D1345" s="57"/>
      <c r="E1345" s="57"/>
      <c r="F1345" s="985"/>
      <c r="G1345" s="57"/>
      <c r="H1345" s="57"/>
      <c r="I1345" s="990"/>
      <c r="J1345" s="57"/>
      <c r="K1345" s="57"/>
      <c r="L1345" s="57"/>
      <c r="M1345" s="57"/>
      <c r="N1345" s="57"/>
      <c r="O1345" s="57"/>
      <c r="P1345" s="57"/>
      <c r="Q1345" s="57"/>
      <c r="R1345" s="57"/>
      <c r="S1345" s="57"/>
      <c r="T1345" s="57"/>
      <c r="U1345" s="57"/>
      <c r="V1345" s="57"/>
      <c r="W1345" s="57"/>
      <c r="X1345" s="57"/>
      <c r="Y1345" s="57"/>
      <c r="Z1345" s="57"/>
      <c r="AA1345" s="57"/>
      <c r="AB1345" s="57"/>
      <c r="AC1345" s="57"/>
      <c r="AD1345" s="57"/>
      <c r="AE1345" s="57"/>
      <c r="AF1345" s="57"/>
    </row>
    <row r="1346" spans="1:32" x14ac:dyDescent="0.2">
      <c r="A1346" s="57"/>
      <c r="B1346" s="57"/>
      <c r="C1346" s="57"/>
      <c r="D1346" s="57"/>
      <c r="E1346" s="57"/>
      <c r="F1346" s="985"/>
      <c r="G1346" s="57"/>
      <c r="H1346" s="57"/>
      <c r="I1346" s="990"/>
      <c r="J1346" s="57"/>
      <c r="K1346" s="57"/>
      <c r="L1346" s="57"/>
      <c r="M1346" s="57"/>
      <c r="N1346" s="57"/>
      <c r="O1346" s="57"/>
      <c r="P1346" s="57"/>
      <c r="Q1346" s="57"/>
      <c r="R1346" s="57"/>
      <c r="S1346" s="57"/>
      <c r="T1346" s="57"/>
      <c r="U1346" s="57"/>
      <c r="V1346" s="57"/>
      <c r="W1346" s="57"/>
      <c r="X1346" s="57"/>
      <c r="Y1346" s="57"/>
      <c r="Z1346" s="57"/>
      <c r="AA1346" s="57"/>
      <c r="AB1346" s="57"/>
      <c r="AC1346" s="57"/>
      <c r="AD1346" s="57"/>
      <c r="AE1346" s="57"/>
      <c r="AF1346" s="57"/>
    </row>
    <row r="1347" spans="1:32" x14ac:dyDescent="0.2">
      <c r="A1347" s="57"/>
      <c r="B1347" s="57"/>
      <c r="C1347" s="57"/>
      <c r="D1347" s="57"/>
      <c r="E1347" s="57"/>
      <c r="F1347" s="985"/>
      <c r="G1347" s="57"/>
      <c r="H1347" s="57"/>
      <c r="I1347" s="990"/>
      <c r="J1347" s="57"/>
      <c r="K1347" s="57"/>
      <c r="L1347" s="57"/>
      <c r="M1347" s="57"/>
      <c r="N1347" s="57"/>
      <c r="O1347" s="57"/>
      <c r="P1347" s="57"/>
      <c r="Q1347" s="57"/>
      <c r="R1347" s="57"/>
      <c r="S1347" s="57"/>
      <c r="T1347" s="57"/>
      <c r="U1347" s="57"/>
      <c r="V1347" s="57"/>
      <c r="W1347" s="57"/>
      <c r="X1347" s="57"/>
      <c r="Y1347" s="57"/>
      <c r="Z1347" s="57"/>
      <c r="AA1347" s="57"/>
      <c r="AB1347" s="57"/>
      <c r="AC1347" s="57"/>
      <c r="AD1347" s="57"/>
      <c r="AE1347" s="57"/>
      <c r="AF1347" s="57"/>
    </row>
    <row r="1348" spans="1:32" x14ac:dyDescent="0.2">
      <c r="A1348" s="57"/>
      <c r="B1348" s="57"/>
      <c r="C1348" s="57"/>
      <c r="D1348" s="57"/>
      <c r="E1348" s="57"/>
      <c r="F1348" s="985"/>
      <c r="G1348" s="57"/>
      <c r="H1348" s="57"/>
      <c r="I1348" s="990"/>
      <c r="J1348" s="57"/>
      <c r="K1348" s="57"/>
      <c r="L1348" s="57"/>
      <c r="M1348" s="57"/>
      <c r="N1348" s="57"/>
      <c r="O1348" s="57"/>
      <c r="P1348" s="57"/>
      <c r="Q1348" s="57"/>
      <c r="R1348" s="57"/>
      <c r="S1348" s="57"/>
      <c r="T1348" s="57"/>
      <c r="U1348" s="57"/>
      <c r="V1348" s="57"/>
      <c r="W1348" s="57"/>
      <c r="X1348" s="57"/>
      <c r="Y1348" s="57"/>
      <c r="Z1348" s="57"/>
      <c r="AA1348" s="57"/>
      <c r="AB1348" s="57"/>
      <c r="AC1348" s="57"/>
      <c r="AD1348" s="57"/>
      <c r="AE1348" s="57"/>
      <c r="AF1348" s="57"/>
    </row>
    <row r="1349" spans="1:32" x14ac:dyDescent="0.2">
      <c r="A1349" s="57"/>
      <c r="B1349" s="57"/>
      <c r="C1349" s="57"/>
      <c r="D1349" s="57"/>
      <c r="E1349" s="57"/>
      <c r="F1349" s="985"/>
      <c r="G1349" s="57"/>
      <c r="H1349" s="57"/>
      <c r="I1349" s="990"/>
      <c r="J1349" s="57"/>
      <c r="K1349" s="57"/>
      <c r="L1349" s="57"/>
      <c r="M1349" s="57"/>
      <c r="N1349" s="57"/>
      <c r="O1349" s="57"/>
      <c r="P1349" s="57"/>
      <c r="Q1349" s="57"/>
      <c r="R1349" s="57"/>
      <c r="S1349" s="57"/>
      <c r="T1349" s="57"/>
      <c r="U1349" s="57"/>
      <c r="V1349" s="57"/>
      <c r="W1349" s="57"/>
      <c r="X1349" s="57"/>
      <c r="Y1349" s="57"/>
      <c r="Z1349" s="57"/>
      <c r="AA1349" s="57"/>
      <c r="AB1349" s="57"/>
      <c r="AC1349" s="57"/>
      <c r="AD1349" s="57"/>
      <c r="AE1349" s="57"/>
      <c r="AF1349" s="57"/>
    </row>
    <row r="1350" spans="1:32" x14ac:dyDescent="0.2">
      <c r="A1350" s="57"/>
      <c r="B1350" s="57"/>
      <c r="C1350" s="57"/>
      <c r="D1350" s="57"/>
      <c r="E1350" s="57"/>
      <c r="F1350" s="985"/>
      <c r="G1350" s="57"/>
      <c r="H1350" s="57"/>
      <c r="I1350" s="990"/>
      <c r="J1350" s="57"/>
      <c r="K1350" s="57"/>
      <c r="L1350" s="57"/>
      <c r="M1350" s="57"/>
      <c r="N1350" s="57"/>
      <c r="O1350" s="57"/>
      <c r="P1350" s="57"/>
      <c r="Q1350" s="57"/>
      <c r="R1350" s="57"/>
      <c r="S1350" s="57"/>
      <c r="T1350" s="57"/>
      <c r="U1350" s="57"/>
      <c r="V1350" s="57"/>
      <c r="W1350" s="57"/>
      <c r="X1350" s="57"/>
      <c r="Y1350" s="57"/>
      <c r="Z1350" s="57"/>
      <c r="AA1350" s="57"/>
      <c r="AB1350" s="57"/>
      <c r="AC1350" s="57"/>
      <c r="AD1350" s="57"/>
      <c r="AE1350" s="57"/>
      <c r="AF1350" s="57"/>
    </row>
    <row r="1351" spans="1:32" x14ac:dyDescent="0.2">
      <c r="A1351" s="57"/>
      <c r="B1351" s="57"/>
      <c r="C1351" s="57"/>
      <c r="D1351" s="57"/>
      <c r="E1351" s="57"/>
      <c r="F1351" s="985"/>
      <c r="G1351" s="57"/>
      <c r="H1351" s="57"/>
      <c r="I1351" s="990"/>
      <c r="J1351" s="57"/>
      <c r="K1351" s="57"/>
      <c r="L1351" s="57"/>
      <c r="M1351" s="57"/>
      <c r="N1351" s="57"/>
      <c r="O1351" s="57"/>
      <c r="P1351" s="57"/>
      <c r="Q1351" s="57"/>
      <c r="R1351" s="57"/>
      <c r="S1351" s="57"/>
      <c r="T1351" s="57"/>
      <c r="U1351" s="57"/>
      <c r="V1351" s="57"/>
      <c r="W1351" s="57"/>
      <c r="X1351" s="57"/>
      <c r="Y1351" s="57"/>
      <c r="Z1351" s="57"/>
      <c r="AA1351" s="57"/>
      <c r="AB1351" s="57"/>
      <c r="AC1351" s="57"/>
      <c r="AD1351" s="57"/>
      <c r="AE1351" s="57"/>
      <c r="AF1351" s="57"/>
    </row>
    <row r="1352" spans="1:32" x14ac:dyDescent="0.2">
      <c r="A1352" s="57"/>
      <c r="B1352" s="57"/>
      <c r="C1352" s="57"/>
      <c r="D1352" s="57"/>
      <c r="E1352" s="57"/>
      <c r="F1352" s="985"/>
      <c r="G1352" s="57"/>
      <c r="H1352" s="57"/>
      <c r="I1352" s="990"/>
      <c r="J1352" s="57"/>
      <c r="K1352" s="57"/>
      <c r="L1352" s="57"/>
      <c r="M1352" s="57"/>
      <c r="N1352" s="57"/>
      <c r="O1352" s="57"/>
      <c r="P1352" s="57"/>
      <c r="Q1352" s="57"/>
      <c r="R1352" s="57"/>
      <c r="S1352" s="57"/>
      <c r="T1352" s="57"/>
      <c r="U1352" s="57"/>
      <c r="V1352" s="57"/>
      <c r="W1352" s="57"/>
      <c r="X1352" s="57"/>
      <c r="Y1352" s="57"/>
      <c r="Z1352" s="57"/>
      <c r="AA1352" s="57"/>
      <c r="AB1352" s="57"/>
      <c r="AC1352" s="57"/>
      <c r="AD1352" s="57"/>
      <c r="AE1352" s="57"/>
      <c r="AF1352" s="57"/>
    </row>
    <row r="1353" spans="1:32" x14ac:dyDescent="0.2">
      <c r="A1353" s="57"/>
      <c r="B1353" s="57"/>
      <c r="C1353" s="57"/>
      <c r="D1353" s="57"/>
      <c r="E1353" s="57"/>
      <c r="F1353" s="985"/>
      <c r="G1353" s="57"/>
      <c r="H1353" s="57"/>
      <c r="I1353" s="990"/>
      <c r="J1353" s="57"/>
      <c r="K1353" s="57"/>
      <c r="L1353" s="57"/>
      <c r="M1353" s="57"/>
      <c r="N1353" s="57"/>
      <c r="O1353" s="57"/>
      <c r="P1353" s="57"/>
      <c r="Q1353" s="57"/>
      <c r="R1353" s="57"/>
      <c r="S1353" s="57"/>
      <c r="T1353" s="57"/>
      <c r="U1353" s="57"/>
      <c r="V1353" s="57"/>
      <c r="W1353" s="57"/>
      <c r="X1353" s="57"/>
      <c r="Y1353" s="57"/>
      <c r="Z1353" s="57"/>
      <c r="AA1353" s="57"/>
      <c r="AB1353" s="57"/>
      <c r="AC1353" s="57"/>
      <c r="AD1353" s="57"/>
      <c r="AE1353" s="57"/>
      <c r="AF1353" s="57"/>
    </row>
    <row r="1354" spans="1:32" x14ac:dyDescent="0.2">
      <c r="A1354" s="57"/>
      <c r="B1354" s="57"/>
      <c r="C1354" s="57"/>
      <c r="D1354" s="57"/>
      <c r="E1354" s="57"/>
      <c r="F1354" s="985"/>
      <c r="G1354" s="57"/>
      <c r="H1354" s="57"/>
      <c r="I1354" s="990"/>
      <c r="J1354" s="57"/>
      <c r="K1354" s="57"/>
      <c r="L1354" s="57"/>
      <c r="M1354" s="57"/>
      <c r="N1354" s="57"/>
      <c r="O1354" s="57"/>
      <c r="P1354" s="57"/>
      <c r="Q1354" s="57"/>
      <c r="R1354" s="57"/>
      <c r="S1354" s="57"/>
      <c r="T1354" s="57"/>
      <c r="U1354" s="57"/>
      <c r="V1354" s="57"/>
      <c r="W1354" s="57"/>
      <c r="X1354" s="57"/>
      <c r="Y1354" s="57"/>
      <c r="Z1354" s="57"/>
      <c r="AA1354" s="57"/>
      <c r="AB1354" s="57"/>
      <c r="AC1354" s="57"/>
      <c r="AD1354" s="57"/>
      <c r="AE1354" s="57"/>
      <c r="AF1354" s="57"/>
    </row>
    <row r="1355" spans="1:32" x14ac:dyDescent="0.2">
      <c r="A1355" s="57"/>
      <c r="B1355" s="57"/>
      <c r="C1355" s="57"/>
      <c r="D1355" s="57"/>
      <c r="E1355" s="57"/>
      <c r="F1355" s="985"/>
      <c r="G1355" s="57"/>
      <c r="H1355" s="57"/>
      <c r="I1355" s="990"/>
      <c r="J1355" s="57"/>
      <c r="K1355" s="57"/>
      <c r="L1355" s="57"/>
      <c r="M1355" s="57"/>
      <c r="N1355" s="57"/>
      <c r="O1355" s="57"/>
      <c r="P1355" s="57"/>
      <c r="Q1355" s="57"/>
      <c r="R1355" s="57"/>
      <c r="S1355" s="57"/>
      <c r="T1355" s="57"/>
      <c r="U1355" s="57"/>
      <c r="V1355" s="57"/>
      <c r="W1355" s="57"/>
      <c r="X1355" s="57"/>
      <c r="Y1355" s="57"/>
      <c r="Z1355" s="57"/>
      <c r="AA1355" s="57"/>
      <c r="AB1355" s="57"/>
      <c r="AC1355" s="57"/>
      <c r="AD1355" s="57"/>
      <c r="AE1355" s="57"/>
      <c r="AF1355" s="57"/>
    </row>
    <row r="1356" spans="1:32" x14ac:dyDescent="0.2">
      <c r="A1356" s="57"/>
      <c r="B1356" s="57"/>
      <c r="C1356" s="57"/>
      <c r="D1356" s="57"/>
      <c r="E1356" s="57"/>
      <c r="F1356" s="985"/>
      <c r="G1356" s="57"/>
      <c r="H1356" s="57"/>
      <c r="I1356" s="990"/>
      <c r="J1356" s="57"/>
      <c r="K1356" s="57"/>
      <c r="L1356" s="57"/>
      <c r="M1356" s="57"/>
      <c r="N1356" s="57"/>
      <c r="O1356" s="57"/>
      <c r="P1356" s="57"/>
      <c r="Q1356" s="57"/>
      <c r="R1356" s="57"/>
      <c r="S1356" s="57"/>
      <c r="T1356" s="57"/>
      <c r="U1356" s="57"/>
      <c r="V1356" s="57"/>
      <c r="W1356" s="57"/>
      <c r="X1356" s="57"/>
      <c r="Y1356" s="57"/>
      <c r="Z1356" s="57"/>
      <c r="AA1356" s="57"/>
      <c r="AB1356" s="57"/>
      <c r="AC1356" s="57"/>
      <c r="AD1356" s="57"/>
      <c r="AE1356" s="57"/>
      <c r="AF1356" s="57"/>
    </row>
    <row r="1357" spans="1:32" x14ac:dyDescent="0.2">
      <c r="A1357" s="57"/>
      <c r="B1357" s="57"/>
      <c r="C1357" s="57"/>
      <c r="D1357" s="57"/>
      <c r="E1357" s="57"/>
      <c r="F1357" s="985"/>
      <c r="G1357" s="57"/>
      <c r="H1357" s="57"/>
      <c r="I1357" s="990"/>
      <c r="J1357" s="57"/>
      <c r="K1357" s="57"/>
      <c r="L1357" s="57"/>
      <c r="M1357" s="57"/>
      <c r="N1357" s="57"/>
      <c r="O1357" s="57"/>
      <c r="P1357" s="57"/>
      <c r="Q1357" s="57"/>
      <c r="R1357" s="57"/>
      <c r="S1357" s="57"/>
      <c r="T1357" s="57"/>
      <c r="U1357" s="57"/>
      <c r="V1357" s="57"/>
      <c r="W1357" s="57"/>
      <c r="X1357" s="57"/>
      <c r="Y1357" s="57"/>
      <c r="Z1357" s="57"/>
      <c r="AA1357" s="57"/>
      <c r="AB1357" s="57"/>
      <c r="AC1357" s="57"/>
      <c r="AD1357" s="57"/>
      <c r="AE1357" s="57"/>
      <c r="AF1357" s="57"/>
    </row>
    <row r="1358" spans="1:32" x14ac:dyDescent="0.2">
      <c r="A1358" s="57"/>
      <c r="B1358" s="57"/>
      <c r="C1358" s="57"/>
      <c r="D1358" s="57"/>
      <c r="E1358" s="57"/>
      <c r="F1358" s="985"/>
      <c r="G1358" s="57"/>
      <c r="H1358" s="57"/>
      <c r="I1358" s="990"/>
      <c r="J1358" s="57"/>
      <c r="K1358" s="57"/>
      <c r="L1358" s="57"/>
      <c r="M1358" s="57"/>
      <c r="N1358" s="57"/>
      <c r="O1358" s="57"/>
      <c r="P1358" s="57"/>
      <c r="Q1358" s="57"/>
      <c r="R1358" s="57"/>
      <c r="S1358" s="57"/>
      <c r="T1358" s="57"/>
      <c r="U1358" s="57"/>
      <c r="V1358" s="57"/>
      <c r="W1358" s="57"/>
      <c r="X1358" s="57"/>
      <c r="Y1358" s="57"/>
      <c r="Z1358" s="57"/>
      <c r="AA1358" s="57"/>
      <c r="AB1358" s="57"/>
      <c r="AC1358" s="57"/>
      <c r="AD1358" s="57"/>
      <c r="AE1358" s="57"/>
      <c r="AF1358" s="57"/>
    </row>
    <row r="1359" spans="1:32" x14ac:dyDescent="0.2">
      <c r="A1359" s="57"/>
      <c r="B1359" s="57"/>
      <c r="C1359" s="57"/>
      <c r="D1359" s="57"/>
      <c r="E1359" s="57"/>
      <c r="F1359" s="985"/>
      <c r="G1359" s="57"/>
      <c r="H1359" s="57"/>
      <c r="I1359" s="990"/>
      <c r="J1359" s="57"/>
      <c r="K1359" s="57"/>
      <c r="L1359" s="57"/>
      <c r="M1359" s="57"/>
      <c r="N1359" s="57"/>
      <c r="O1359" s="57"/>
      <c r="P1359" s="57"/>
      <c r="Q1359" s="57"/>
      <c r="R1359" s="57"/>
      <c r="S1359" s="57"/>
      <c r="T1359" s="57"/>
      <c r="U1359" s="57"/>
      <c r="V1359" s="57"/>
      <c r="W1359" s="57"/>
      <c r="X1359" s="57"/>
      <c r="Y1359" s="57"/>
      <c r="Z1359" s="57"/>
      <c r="AA1359" s="57"/>
      <c r="AB1359" s="57"/>
      <c r="AC1359" s="57"/>
      <c r="AD1359" s="57"/>
      <c r="AE1359" s="57"/>
      <c r="AF1359" s="57"/>
    </row>
    <row r="1360" spans="1:32" x14ac:dyDescent="0.2">
      <c r="A1360" s="57"/>
      <c r="B1360" s="57"/>
      <c r="C1360" s="57"/>
      <c r="D1360" s="57"/>
      <c r="E1360" s="57"/>
      <c r="F1360" s="985"/>
      <c r="G1360" s="57"/>
      <c r="H1360" s="57"/>
      <c r="I1360" s="990"/>
      <c r="J1360" s="57"/>
      <c r="K1360" s="57"/>
      <c r="L1360" s="57"/>
      <c r="M1360" s="57"/>
      <c r="N1360" s="57"/>
      <c r="O1360" s="57"/>
      <c r="P1360" s="57"/>
      <c r="Q1360" s="57"/>
      <c r="R1360" s="57"/>
      <c r="S1360" s="57"/>
      <c r="T1360" s="57"/>
      <c r="U1360" s="57"/>
      <c r="V1360" s="57"/>
      <c r="W1360" s="57"/>
      <c r="X1360" s="57"/>
      <c r="Y1360" s="57"/>
      <c r="Z1360" s="57"/>
      <c r="AA1360" s="57"/>
      <c r="AB1360" s="57"/>
      <c r="AC1360" s="57"/>
      <c r="AD1360" s="57"/>
      <c r="AE1360" s="57"/>
      <c r="AF1360" s="57"/>
    </row>
    <row r="1361" spans="1:32" x14ac:dyDescent="0.2">
      <c r="A1361" s="57"/>
      <c r="B1361" s="57"/>
      <c r="C1361" s="57"/>
      <c r="D1361" s="57"/>
      <c r="E1361" s="57"/>
      <c r="F1361" s="985"/>
      <c r="G1361" s="57"/>
      <c r="H1361" s="57"/>
      <c r="I1361" s="990"/>
      <c r="J1361" s="57"/>
      <c r="K1361" s="57"/>
      <c r="L1361" s="57"/>
      <c r="M1361" s="57"/>
      <c r="N1361" s="57"/>
      <c r="O1361" s="57"/>
      <c r="P1361" s="57"/>
      <c r="Q1361" s="57"/>
      <c r="R1361" s="57"/>
      <c r="S1361" s="57"/>
      <c r="T1361" s="57"/>
      <c r="U1361" s="57"/>
      <c r="V1361" s="57"/>
      <c r="W1361" s="57"/>
      <c r="X1361" s="57"/>
      <c r="Y1361" s="57"/>
      <c r="Z1361" s="57"/>
      <c r="AA1361" s="57"/>
      <c r="AB1361" s="57"/>
      <c r="AC1361" s="57"/>
      <c r="AD1361" s="57"/>
      <c r="AE1361" s="57"/>
      <c r="AF1361" s="57"/>
    </row>
    <row r="1362" spans="1:32" x14ac:dyDescent="0.2">
      <c r="A1362" s="57"/>
      <c r="B1362" s="57"/>
      <c r="C1362" s="57"/>
      <c r="D1362" s="57"/>
      <c r="E1362" s="57"/>
      <c r="F1362" s="985"/>
      <c r="G1362" s="57"/>
      <c r="H1362" s="57"/>
      <c r="I1362" s="990"/>
      <c r="J1362" s="57"/>
      <c r="K1362" s="57"/>
      <c r="L1362" s="57"/>
      <c r="M1362" s="57"/>
      <c r="N1362" s="57"/>
      <c r="O1362" s="57"/>
      <c r="P1362" s="57"/>
      <c r="Q1362" s="57"/>
      <c r="R1362" s="57"/>
      <c r="S1362" s="57"/>
      <c r="T1362" s="57"/>
      <c r="U1362" s="57"/>
      <c r="V1362" s="57"/>
      <c r="W1362" s="57"/>
      <c r="X1362" s="57"/>
      <c r="Y1362" s="57"/>
      <c r="Z1362" s="57"/>
      <c r="AA1362" s="57"/>
      <c r="AB1362" s="57"/>
      <c r="AC1362" s="57"/>
      <c r="AD1362" s="57"/>
      <c r="AE1362" s="57"/>
      <c r="AF1362" s="57"/>
    </row>
    <row r="1363" spans="1:32" x14ac:dyDescent="0.2">
      <c r="A1363" s="57"/>
      <c r="B1363" s="57"/>
      <c r="C1363" s="57"/>
      <c r="D1363" s="57"/>
      <c r="E1363" s="57"/>
      <c r="F1363" s="985"/>
      <c r="G1363" s="57"/>
      <c r="H1363" s="57"/>
      <c r="I1363" s="990"/>
      <c r="J1363" s="57"/>
      <c r="K1363" s="57"/>
      <c r="L1363" s="57"/>
      <c r="M1363" s="57"/>
      <c r="N1363" s="57"/>
      <c r="O1363" s="57"/>
      <c r="P1363" s="57"/>
      <c r="Q1363" s="57"/>
      <c r="R1363" s="57"/>
      <c r="S1363" s="57"/>
      <c r="T1363" s="57"/>
      <c r="U1363" s="57"/>
      <c r="V1363" s="57"/>
      <c r="W1363" s="57"/>
      <c r="X1363" s="57"/>
      <c r="Y1363" s="57"/>
      <c r="Z1363" s="57"/>
      <c r="AA1363" s="57"/>
      <c r="AB1363" s="57"/>
      <c r="AC1363" s="57"/>
      <c r="AD1363" s="57"/>
      <c r="AE1363" s="57"/>
      <c r="AF1363" s="57"/>
    </row>
    <row r="1364" spans="1:32" x14ac:dyDescent="0.2">
      <c r="A1364" s="57"/>
      <c r="B1364" s="57"/>
      <c r="C1364" s="57"/>
      <c r="D1364" s="57"/>
      <c r="E1364" s="57"/>
      <c r="F1364" s="985"/>
      <c r="G1364" s="57"/>
      <c r="H1364" s="57"/>
      <c r="I1364" s="990"/>
      <c r="J1364" s="57"/>
      <c r="K1364" s="57"/>
      <c r="L1364" s="57"/>
      <c r="M1364" s="57"/>
      <c r="N1364" s="57"/>
      <c r="O1364" s="57"/>
      <c r="P1364" s="57"/>
      <c r="Q1364" s="57"/>
      <c r="R1364" s="57"/>
      <c r="S1364" s="57"/>
      <c r="T1364" s="57"/>
      <c r="U1364" s="57"/>
      <c r="V1364" s="57"/>
      <c r="W1364" s="57"/>
      <c r="X1364" s="57"/>
      <c r="Y1364" s="57"/>
      <c r="Z1364" s="57"/>
      <c r="AA1364" s="57"/>
      <c r="AB1364" s="57"/>
      <c r="AC1364" s="57"/>
      <c r="AD1364" s="57"/>
      <c r="AE1364" s="57"/>
      <c r="AF1364" s="57"/>
    </row>
    <row r="1365" spans="1:32" x14ac:dyDescent="0.2">
      <c r="A1365" s="57"/>
      <c r="B1365" s="57"/>
      <c r="C1365" s="57"/>
      <c r="D1365" s="57"/>
      <c r="E1365" s="57"/>
      <c r="F1365" s="985"/>
      <c r="G1365" s="57"/>
      <c r="H1365" s="57"/>
      <c r="I1365" s="990"/>
      <c r="J1365" s="57"/>
      <c r="K1365" s="57"/>
      <c r="L1365" s="57"/>
      <c r="M1365" s="57"/>
      <c r="N1365" s="57"/>
      <c r="O1365" s="57"/>
      <c r="P1365" s="57"/>
      <c r="Q1365" s="57"/>
      <c r="R1365" s="57"/>
      <c r="S1365" s="57"/>
      <c r="T1365" s="57"/>
      <c r="U1365" s="57"/>
      <c r="V1365" s="57"/>
      <c r="W1365" s="57"/>
      <c r="X1365" s="57"/>
      <c r="Y1365" s="57"/>
      <c r="Z1365" s="57"/>
      <c r="AA1365" s="57"/>
      <c r="AB1365" s="57"/>
      <c r="AC1365" s="57"/>
      <c r="AD1365" s="57"/>
      <c r="AE1365" s="57"/>
      <c r="AF1365" s="57"/>
    </row>
    <row r="1366" spans="1:32" x14ac:dyDescent="0.2">
      <c r="A1366" s="57"/>
      <c r="B1366" s="57"/>
      <c r="C1366" s="57"/>
      <c r="D1366" s="57"/>
      <c r="E1366" s="57"/>
      <c r="F1366" s="985"/>
      <c r="G1366" s="57"/>
      <c r="H1366" s="57"/>
      <c r="I1366" s="990"/>
      <c r="J1366" s="57"/>
      <c r="K1366" s="57"/>
      <c r="L1366" s="57"/>
      <c r="M1366" s="57"/>
      <c r="N1366" s="57"/>
      <c r="O1366" s="57"/>
      <c r="P1366" s="57"/>
      <c r="Q1366" s="57"/>
      <c r="R1366" s="57"/>
      <c r="S1366" s="57"/>
      <c r="T1366" s="57"/>
      <c r="U1366" s="57"/>
      <c r="V1366" s="57"/>
      <c r="W1366" s="57"/>
      <c r="X1366" s="57"/>
      <c r="Y1366" s="57"/>
      <c r="Z1366" s="57"/>
      <c r="AA1366" s="57"/>
      <c r="AB1366" s="57"/>
      <c r="AC1366" s="57"/>
      <c r="AD1366" s="57"/>
      <c r="AE1366" s="57"/>
      <c r="AF1366" s="57"/>
    </row>
    <row r="1367" spans="1:32" x14ac:dyDescent="0.2">
      <c r="A1367" s="57"/>
      <c r="B1367" s="57"/>
      <c r="C1367" s="57"/>
      <c r="D1367" s="57"/>
      <c r="E1367" s="57"/>
      <c r="F1367" s="985"/>
      <c r="G1367" s="57"/>
      <c r="H1367" s="57"/>
      <c r="I1367" s="990"/>
      <c r="J1367" s="57"/>
      <c r="K1367" s="57"/>
      <c r="L1367" s="57"/>
      <c r="M1367" s="57"/>
      <c r="N1367" s="57"/>
      <c r="O1367" s="57"/>
      <c r="P1367" s="57"/>
      <c r="Q1367" s="57"/>
      <c r="R1367" s="57"/>
      <c r="S1367" s="57"/>
      <c r="T1367" s="57"/>
      <c r="U1367" s="57"/>
      <c r="V1367" s="57"/>
      <c r="W1367" s="57"/>
      <c r="X1367" s="57"/>
      <c r="Y1367" s="57"/>
      <c r="Z1367" s="57"/>
      <c r="AA1367" s="57"/>
      <c r="AB1367" s="57"/>
      <c r="AC1367" s="57"/>
      <c r="AD1367" s="57"/>
      <c r="AE1367" s="57"/>
      <c r="AF1367" s="57"/>
    </row>
    <row r="1368" spans="1:32" x14ac:dyDescent="0.2">
      <c r="A1368" s="57"/>
      <c r="B1368" s="57"/>
      <c r="C1368" s="57"/>
      <c r="D1368" s="57"/>
      <c r="E1368" s="57"/>
      <c r="F1368" s="985"/>
      <c r="G1368" s="57"/>
      <c r="H1368" s="57"/>
      <c r="I1368" s="990"/>
      <c r="J1368" s="57"/>
      <c r="K1368" s="57"/>
      <c r="L1368" s="57"/>
      <c r="M1368" s="57"/>
      <c r="N1368" s="57"/>
      <c r="O1368" s="57"/>
      <c r="P1368" s="57"/>
      <c r="Q1368" s="57"/>
      <c r="R1368" s="57"/>
      <c r="S1368" s="57"/>
      <c r="T1368" s="57"/>
      <c r="U1368" s="57"/>
      <c r="V1368" s="57"/>
      <c r="W1368" s="57"/>
      <c r="X1368" s="57"/>
      <c r="Y1368" s="57"/>
      <c r="Z1368" s="57"/>
      <c r="AA1368" s="57"/>
      <c r="AB1368" s="57"/>
      <c r="AC1368" s="57"/>
      <c r="AD1368" s="57"/>
      <c r="AE1368" s="57"/>
      <c r="AF1368" s="57"/>
    </row>
    <row r="1369" spans="1:32" x14ac:dyDescent="0.2">
      <c r="A1369" s="57"/>
      <c r="B1369" s="57"/>
      <c r="C1369" s="57"/>
      <c r="D1369" s="57"/>
      <c r="E1369" s="57"/>
      <c r="F1369" s="985"/>
      <c r="G1369" s="57"/>
      <c r="H1369" s="57"/>
      <c r="I1369" s="990"/>
      <c r="J1369" s="57"/>
      <c r="K1369" s="57"/>
      <c r="L1369" s="57"/>
      <c r="M1369" s="57"/>
      <c r="N1369" s="57"/>
      <c r="O1369" s="57"/>
      <c r="P1369" s="57"/>
      <c r="Q1369" s="57"/>
      <c r="R1369" s="57"/>
      <c r="S1369" s="57"/>
      <c r="T1369" s="57"/>
      <c r="U1369" s="57"/>
      <c r="V1369" s="57"/>
      <c r="W1369" s="57"/>
      <c r="X1369" s="57"/>
      <c r="Y1369" s="57"/>
      <c r="Z1369" s="57"/>
      <c r="AA1369" s="57"/>
      <c r="AB1369" s="57"/>
      <c r="AC1369" s="57"/>
      <c r="AD1369" s="57"/>
      <c r="AE1369" s="57"/>
      <c r="AF1369" s="57"/>
    </row>
    <row r="1370" spans="1:32" x14ac:dyDescent="0.2">
      <c r="A1370" s="57"/>
      <c r="B1370" s="57"/>
      <c r="C1370" s="57"/>
      <c r="D1370" s="57"/>
      <c r="E1370" s="57"/>
      <c r="F1370" s="985"/>
      <c r="G1370" s="57"/>
      <c r="H1370" s="57"/>
      <c r="I1370" s="990"/>
      <c r="J1370" s="57"/>
      <c r="K1370" s="57"/>
      <c r="L1370" s="57"/>
      <c r="M1370" s="57"/>
      <c r="N1370" s="57"/>
      <c r="O1370" s="57"/>
      <c r="P1370" s="57"/>
      <c r="Q1370" s="57"/>
      <c r="R1370" s="57"/>
      <c r="S1370" s="57"/>
      <c r="T1370" s="57"/>
      <c r="U1370" s="57"/>
      <c r="V1370" s="57"/>
      <c r="W1370" s="57"/>
      <c r="X1370" s="57"/>
      <c r="Y1370" s="57"/>
      <c r="Z1370" s="57"/>
      <c r="AA1370" s="57"/>
      <c r="AB1370" s="57"/>
      <c r="AC1370" s="57"/>
      <c r="AD1370" s="57"/>
      <c r="AE1370" s="57"/>
      <c r="AF1370" s="57"/>
    </row>
    <row r="1371" spans="1:32" x14ac:dyDescent="0.2">
      <c r="A1371" s="57"/>
      <c r="B1371" s="57"/>
      <c r="C1371" s="57"/>
      <c r="D1371" s="57"/>
      <c r="E1371" s="57"/>
      <c r="F1371" s="985"/>
      <c r="G1371" s="57"/>
      <c r="H1371" s="57"/>
      <c r="I1371" s="990"/>
      <c r="J1371" s="57"/>
      <c r="K1371" s="57"/>
      <c r="L1371" s="57"/>
      <c r="M1371" s="57"/>
      <c r="N1371" s="57"/>
      <c r="O1371" s="57"/>
      <c r="P1371" s="57"/>
      <c r="Q1371" s="57"/>
      <c r="R1371" s="57"/>
      <c r="S1371" s="57"/>
      <c r="T1371" s="57"/>
      <c r="U1371" s="57"/>
      <c r="V1371" s="57"/>
      <c r="W1371" s="57"/>
      <c r="X1371" s="57"/>
      <c r="Y1371" s="57"/>
      <c r="Z1371" s="57"/>
      <c r="AA1371" s="57"/>
      <c r="AB1371" s="57"/>
      <c r="AC1371" s="57"/>
      <c r="AD1371" s="57"/>
      <c r="AE1371" s="57"/>
      <c r="AF1371" s="57"/>
    </row>
    <row r="1372" spans="1:32" x14ac:dyDescent="0.2">
      <c r="A1372" s="57"/>
      <c r="B1372" s="57"/>
      <c r="C1372" s="57"/>
      <c r="D1372" s="57"/>
      <c r="E1372" s="57"/>
      <c r="F1372" s="985"/>
      <c r="G1372" s="57"/>
      <c r="H1372" s="57"/>
      <c r="I1372" s="990"/>
      <c r="J1372" s="57"/>
      <c r="K1372" s="57"/>
      <c r="L1372" s="57"/>
      <c r="M1372" s="57"/>
      <c r="N1372" s="57"/>
      <c r="O1372" s="57"/>
      <c r="P1372" s="57"/>
      <c r="Q1372" s="57"/>
      <c r="R1372" s="57"/>
      <c r="S1372" s="57"/>
      <c r="T1372" s="57"/>
      <c r="U1372" s="57"/>
      <c r="V1372" s="57"/>
      <c r="W1372" s="57"/>
      <c r="X1372" s="57"/>
      <c r="Y1372" s="57"/>
      <c r="Z1372" s="57"/>
      <c r="AA1372" s="57"/>
      <c r="AB1372" s="57"/>
      <c r="AC1372" s="57"/>
      <c r="AD1372" s="57"/>
      <c r="AE1372" s="57"/>
      <c r="AF1372" s="57"/>
    </row>
    <row r="1373" spans="1:32" x14ac:dyDescent="0.2">
      <c r="A1373" s="57"/>
      <c r="B1373" s="57"/>
      <c r="C1373" s="57"/>
      <c r="D1373" s="57"/>
      <c r="E1373" s="57"/>
      <c r="F1373" s="985"/>
      <c r="G1373" s="57"/>
      <c r="H1373" s="57"/>
      <c r="I1373" s="990"/>
      <c r="J1373" s="57"/>
      <c r="K1373" s="57"/>
      <c r="L1373" s="57"/>
      <c r="M1373" s="57"/>
      <c r="N1373" s="57"/>
      <c r="O1373" s="57"/>
      <c r="P1373" s="57"/>
      <c r="Q1373" s="57"/>
      <c r="R1373" s="57"/>
      <c r="S1373" s="57"/>
      <c r="T1373" s="57"/>
      <c r="U1373" s="57"/>
      <c r="V1373" s="57"/>
      <c r="W1373" s="57"/>
      <c r="X1373" s="57"/>
      <c r="Y1373" s="57"/>
      <c r="Z1373" s="57"/>
      <c r="AA1373" s="57"/>
      <c r="AB1373" s="57"/>
      <c r="AC1373" s="57"/>
      <c r="AD1373" s="57"/>
      <c r="AE1373" s="57"/>
      <c r="AF1373" s="57"/>
    </row>
    <row r="1374" spans="1:32" x14ac:dyDescent="0.2">
      <c r="A1374" s="57"/>
      <c r="B1374" s="57"/>
      <c r="C1374" s="57"/>
      <c r="D1374" s="57"/>
      <c r="E1374" s="57"/>
      <c r="F1374" s="985"/>
      <c r="G1374" s="57"/>
      <c r="H1374" s="57"/>
      <c r="I1374" s="990"/>
      <c r="J1374" s="57"/>
      <c r="K1374" s="57"/>
      <c r="L1374" s="57"/>
      <c r="M1374" s="57"/>
      <c r="N1374" s="57"/>
      <c r="O1374" s="57"/>
      <c r="P1374" s="57"/>
      <c r="Q1374" s="57"/>
      <c r="R1374" s="57"/>
      <c r="S1374" s="57"/>
      <c r="T1374" s="57"/>
      <c r="U1374" s="57"/>
      <c r="V1374" s="57"/>
      <c r="W1374" s="57"/>
      <c r="X1374" s="57"/>
      <c r="Y1374" s="57"/>
      <c r="Z1374" s="57"/>
      <c r="AA1374" s="57"/>
      <c r="AB1374" s="57"/>
      <c r="AC1374" s="57"/>
      <c r="AD1374" s="57"/>
      <c r="AE1374" s="57"/>
      <c r="AF1374" s="57"/>
    </row>
    <row r="1375" spans="1:32" x14ac:dyDescent="0.2">
      <c r="A1375" s="57"/>
      <c r="B1375" s="57"/>
      <c r="C1375" s="57"/>
      <c r="D1375" s="57"/>
      <c r="E1375" s="57"/>
      <c r="F1375" s="985"/>
      <c r="G1375" s="57"/>
      <c r="H1375" s="57"/>
      <c r="I1375" s="990"/>
      <c r="J1375" s="57"/>
      <c r="K1375" s="57"/>
      <c r="L1375" s="57"/>
      <c r="M1375" s="57"/>
      <c r="N1375" s="57"/>
      <c r="O1375" s="57"/>
      <c r="P1375" s="57"/>
      <c r="Q1375" s="57"/>
      <c r="R1375" s="57"/>
      <c r="S1375" s="57"/>
      <c r="T1375" s="57"/>
      <c r="U1375" s="57"/>
      <c r="V1375" s="57"/>
      <c r="W1375" s="57"/>
      <c r="X1375" s="57"/>
      <c r="Y1375" s="57"/>
      <c r="Z1375" s="57"/>
      <c r="AA1375" s="57"/>
      <c r="AB1375" s="57"/>
      <c r="AC1375" s="57"/>
      <c r="AD1375" s="57"/>
      <c r="AE1375" s="57"/>
      <c r="AF1375" s="57"/>
    </row>
    <row r="1376" spans="1:32" x14ac:dyDescent="0.2">
      <c r="A1376" s="57"/>
      <c r="B1376" s="57"/>
      <c r="C1376" s="57"/>
      <c r="D1376" s="57"/>
      <c r="E1376" s="57"/>
      <c r="F1376" s="985"/>
      <c r="G1376" s="57"/>
      <c r="H1376" s="57"/>
      <c r="I1376" s="990"/>
      <c r="J1376" s="57"/>
      <c r="K1376" s="57"/>
      <c r="L1376" s="57"/>
      <c r="M1376" s="57"/>
      <c r="N1376" s="57"/>
      <c r="O1376" s="57"/>
      <c r="P1376" s="57"/>
      <c r="Q1376" s="57"/>
      <c r="R1376" s="57"/>
      <c r="S1376" s="57"/>
      <c r="T1376" s="57"/>
      <c r="U1376" s="57"/>
      <c r="V1376" s="57"/>
      <c r="W1376" s="57"/>
      <c r="X1376" s="57"/>
      <c r="Y1376" s="57"/>
      <c r="Z1376" s="57"/>
      <c r="AA1376" s="57"/>
      <c r="AB1376" s="57"/>
      <c r="AC1376" s="57"/>
      <c r="AD1376" s="57"/>
      <c r="AE1376" s="57"/>
      <c r="AF1376" s="57"/>
    </row>
    <row r="1377" spans="1:32" x14ac:dyDescent="0.2">
      <c r="A1377" s="57"/>
      <c r="B1377" s="57"/>
      <c r="C1377" s="57"/>
      <c r="D1377" s="57"/>
      <c r="E1377" s="57"/>
      <c r="F1377" s="985"/>
      <c r="G1377" s="57"/>
      <c r="H1377" s="57"/>
      <c r="I1377" s="990"/>
      <c r="J1377" s="57"/>
      <c r="K1377" s="57"/>
      <c r="L1377" s="57"/>
      <c r="M1377" s="57"/>
      <c r="N1377" s="57"/>
      <c r="O1377" s="57"/>
      <c r="P1377" s="57"/>
      <c r="Q1377" s="57"/>
      <c r="R1377" s="57"/>
      <c r="S1377" s="57"/>
      <c r="T1377" s="57"/>
      <c r="U1377" s="57"/>
      <c r="V1377" s="57"/>
      <c r="W1377" s="57"/>
      <c r="X1377" s="57"/>
      <c r="Y1377" s="57"/>
      <c r="Z1377" s="57"/>
      <c r="AA1377" s="57"/>
      <c r="AB1377" s="57"/>
      <c r="AC1377" s="57"/>
      <c r="AD1377" s="57"/>
      <c r="AE1377" s="57"/>
      <c r="AF1377" s="57"/>
    </row>
    <row r="1378" spans="1:32" x14ac:dyDescent="0.2">
      <c r="A1378" s="57"/>
      <c r="B1378" s="57"/>
      <c r="C1378" s="57"/>
      <c r="D1378" s="57"/>
      <c r="E1378" s="57"/>
      <c r="F1378" s="985"/>
      <c r="G1378" s="57"/>
      <c r="H1378" s="57"/>
      <c r="I1378" s="990"/>
      <c r="J1378" s="57"/>
      <c r="K1378" s="57"/>
      <c r="L1378" s="57"/>
      <c r="M1378" s="57"/>
      <c r="N1378" s="57"/>
      <c r="O1378" s="57"/>
      <c r="P1378" s="57"/>
      <c r="Q1378" s="57"/>
      <c r="R1378" s="57"/>
      <c r="S1378" s="57"/>
      <c r="T1378" s="57"/>
      <c r="U1378" s="57"/>
      <c r="V1378" s="57"/>
      <c r="W1378" s="57"/>
      <c r="X1378" s="57"/>
      <c r="Y1378" s="57"/>
      <c r="Z1378" s="57"/>
      <c r="AA1378" s="57"/>
      <c r="AB1378" s="57"/>
      <c r="AC1378" s="57"/>
      <c r="AD1378" s="57"/>
      <c r="AE1378" s="57"/>
      <c r="AF1378" s="57"/>
    </row>
    <row r="1379" spans="1:32" x14ac:dyDescent="0.2">
      <c r="A1379" s="57"/>
      <c r="B1379" s="57"/>
      <c r="C1379" s="57"/>
      <c r="D1379" s="57"/>
      <c r="E1379" s="57"/>
      <c r="F1379" s="985"/>
      <c r="G1379" s="57"/>
      <c r="H1379" s="57"/>
      <c r="I1379" s="990"/>
      <c r="J1379" s="57"/>
      <c r="K1379" s="57"/>
      <c r="L1379" s="57"/>
      <c r="M1379" s="57"/>
      <c r="N1379" s="57"/>
      <c r="O1379" s="57"/>
      <c r="P1379" s="57"/>
      <c r="Q1379" s="57"/>
      <c r="R1379" s="57"/>
      <c r="S1379" s="57"/>
      <c r="T1379" s="57"/>
      <c r="U1379" s="57"/>
      <c r="V1379" s="57"/>
      <c r="W1379" s="57"/>
      <c r="X1379" s="57"/>
      <c r="Y1379" s="57"/>
      <c r="Z1379" s="57"/>
      <c r="AA1379" s="57"/>
      <c r="AB1379" s="57"/>
      <c r="AC1379" s="57"/>
      <c r="AD1379" s="57"/>
      <c r="AE1379" s="57"/>
      <c r="AF1379" s="57"/>
    </row>
    <row r="1380" spans="1:32" x14ac:dyDescent="0.2">
      <c r="A1380" s="57"/>
      <c r="B1380" s="57"/>
      <c r="C1380" s="57"/>
      <c r="D1380" s="57"/>
      <c r="E1380" s="57"/>
      <c r="F1380" s="985"/>
      <c r="G1380" s="57"/>
      <c r="H1380" s="57"/>
      <c r="I1380" s="990"/>
      <c r="J1380" s="57"/>
      <c r="K1380" s="57"/>
      <c r="L1380" s="57"/>
      <c r="M1380" s="57"/>
      <c r="N1380" s="57"/>
      <c r="O1380" s="57"/>
      <c r="P1380" s="57"/>
      <c r="Q1380" s="57"/>
      <c r="R1380" s="57"/>
      <c r="S1380" s="57"/>
      <c r="T1380" s="57"/>
      <c r="U1380" s="57"/>
      <c r="V1380" s="57"/>
      <c r="W1380" s="57"/>
      <c r="X1380" s="57"/>
      <c r="Y1380" s="57"/>
      <c r="Z1380" s="57"/>
      <c r="AA1380" s="57"/>
      <c r="AB1380" s="57"/>
      <c r="AC1380" s="57"/>
      <c r="AD1380" s="57"/>
      <c r="AE1380" s="57"/>
      <c r="AF1380" s="57"/>
    </row>
    <row r="1381" spans="1:32" x14ac:dyDescent="0.2">
      <c r="A1381" s="57"/>
      <c r="B1381" s="57"/>
      <c r="C1381" s="57"/>
      <c r="D1381" s="57"/>
      <c r="E1381" s="57"/>
      <c r="F1381" s="985"/>
      <c r="G1381" s="57"/>
      <c r="H1381" s="57"/>
      <c r="I1381" s="990"/>
      <c r="J1381" s="57"/>
      <c r="K1381" s="57"/>
      <c r="L1381" s="57"/>
      <c r="M1381" s="57"/>
      <c r="N1381" s="57"/>
      <c r="O1381" s="57"/>
      <c r="P1381" s="57"/>
      <c r="Q1381" s="57"/>
      <c r="R1381" s="57"/>
      <c r="S1381" s="57"/>
      <c r="T1381" s="57"/>
      <c r="U1381" s="57"/>
      <c r="V1381" s="57"/>
      <c r="W1381" s="57"/>
      <c r="X1381" s="57"/>
      <c r="Y1381" s="57"/>
      <c r="Z1381" s="57"/>
      <c r="AA1381" s="57"/>
      <c r="AB1381" s="57"/>
      <c r="AC1381" s="57"/>
      <c r="AD1381" s="57"/>
      <c r="AE1381" s="57"/>
      <c r="AF1381" s="57"/>
    </row>
    <row r="1382" spans="1:32" x14ac:dyDescent="0.2">
      <c r="A1382" s="57"/>
      <c r="B1382" s="57"/>
      <c r="C1382" s="57"/>
      <c r="D1382" s="57"/>
      <c r="E1382" s="57"/>
      <c r="F1382" s="985"/>
      <c r="G1382" s="57"/>
      <c r="H1382" s="57"/>
      <c r="I1382" s="990"/>
      <c r="J1382" s="57"/>
      <c r="K1382" s="57"/>
      <c r="L1382" s="57"/>
      <c r="M1382" s="57"/>
      <c r="N1382" s="57"/>
      <c r="O1382" s="57"/>
      <c r="P1382" s="57"/>
      <c r="Q1382" s="57"/>
      <c r="R1382" s="57"/>
      <c r="S1382" s="57"/>
      <c r="T1382" s="57"/>
      <c r="U1382" s="57"/>
      <c r="V1382" s="57"/>
      <c r="W1382" s="57"/>
      <c r="X1382" s="57"/>
      <c r="Y1382" s="57"/>
      <c r="Z1382" s="57"/>
      <c r="AA1382" s="57"/>
      <c r="AB1382" s="57"/>
      <c r="AC1382" s="57"/>
      <c r="AD1382" s="57"/>
      <c r="AE1382" s="57"/>
      <c r="AF1382" s="57"/>
    </row>
    <row r="1383" spans="1:32" x14ac:dyDescent="0.2">
      <c r="A1383" s="57"/>
      <c r="B1383" s="57"/>
      <c r="C1383" s="57"/>
      <c r="D1383" s="57"/>
      <c r="E1383" s="57"/>
      <c r="F1383" s="985"/>
      <c r="G1383" s="57"/>
      <c r="H1383" s="57"/>
      <c r="I1383" s="990"/>
      <c r="J1383" s="57"/>
      <c r="K1383" s="57"/>
      <c r="L1383" s="57"/>
      <c r="M1383" s="57"/>
      <c r="N1383" s="57"/>
      <c r="O1383" s="57"/>
      <c r="P1383" s="57"/>
      <c r="Q1383" s="57"/>
      <c r="R1383" s="57"/>
      <c r="S1383" s="57"/>
      <c r="T1383" s="57"/>
      <c r="U1383" s="57"/>
      <c r="V1383" s="57"/>
      <c r="W1383" s="57"/>
      <c r="X1383" s="57"/>
      <c r="Y1383" s="57"/>
      <c r="Z1383" s="57"/>
      <c r="AA1383" s="57"/>
      <c r="AB1383" s="57"/>
      <c r="AC1383" s="57"/>
      <c r="AD1383" s="57"/>
      <c r="AE1383" s="57"/>
      <c r="AF1383" s="57"/>
    </row>
    <row r="1384" spans="1:32" x14ac:dyDescent="0.2">
      <c r="A1384" s="57"/>
      <c r="B1384" s="57"/>
      <c r="C1384" s="57"/>
      <c r="D1384" s="57"/>
      <c r="E1384" s="57"/>
      <c r="F1384" s="985"/>
      <c r="G1384" s="57"/>
      <c r="H1384" s="57"/>
      <c r="I1384" s="990"/>
      <c r="J1384" s="57"/>
      <c r="K1384" s="57"/>
      <c r="L1384" s="57"/>
      <c r="M1384" s="57"/>
      <c r="N1384" s="57"/>
      <c r="O1384" s="57"/>
      <c r="P1384" s="57"/>
      <c r="Q1384" s="57"/>
      <c r="R1384" s="57"/>
      <c r="S1384" s="57"/>
      <c r="T1384" s="57"/>
      <c r="U1384" s="57"/>
      <c r="V1384" s="57"/>
      <c r="W1384" s="57"/>
      <c r="X1384" s="57"/>
      <c r="Y1384" s="57"/>
      <c r="Z1384" s="57"/>
      <c r="AA1384" s="57"/>
      <c r="AB1384" s="57"/>
      <c r="AC1384" s="57"/>
      <c r="AD1384" s="57"/>
      <c r="AE1384" s="57"/>
      <c r="AF1384" s="57"/>
    </row>
    <row r="1385" spans="1:32" x14ac:dyDescent="0.2">
      <c r="A1385" s="57"/>
      <c r="B1385" s="57"/>
      <c r="C1385" s="57"/>
      <c r="D1385" s="57"/>
      <c r="E1385" s="57"/>
      <c r="F1385" s="985"/>
      <c r="G1385" s="57"/>
      <c r="H1385" s="57"/>
      <c r="I1385" s="990"/>
      <c r="J1385" s="57"/>
      <c r="K1385" s="57"/>
      <c r="L1385" s="57"/>
      <c r="M1385" s="57"/>
      <c r="N1385" s="57"/>
      <c r="O1385" s="57"/>
      <c r="P1385" s="57"/>
      <c r="Q1385" s="57"/>
      <c r="R1385" s="57"/>
      <c r="S1385" s="57"/>
      <c r="T1385" s="57"/>
      <c r="U1385" s="57"/>
      <c r="V1385" s="57"/>
      <c r="W1385" s="57"/>
      <c r="X1385" s="57"/>
      <c r="Y1385" s="57"/>
      <c r="Z1385" s="57"/>
      <c r="AA1385" s="57"/>
      <c r="AB1385" s="57"/>
      <c r="AC1385" s="57"/>
      <c r="AD1385" s="57"/>
      <c r="AE1385" s="57"/>
      <c r="AF1385" s="57"/>
    </row>
    <row r="1386" spans="1:32" x14ac:dyDescent="0.2">
      <c r="A1386" s="57"/>
      <c r="B1386" s="57"/>
      <c r="C1386" s="57"/>
      <c r="D1386" s="57"/>
      <c r="E1386" s="57"/>
      <c r="F1386" s="985"/>
      <c r="G1386" s="57"/>
      <c r="H1386" s="57"/>
      <c r="I1386" s="990"/>
      <c r="J1386" s="57"/>
      <c r="K1386" s="57"/>
      <c r="L1386" s="57"/>
      <c r="M1386" s="57"/>
      <c r="N1386" s="57"/>
      <c r="O1386" s="57"/>
      <c r="P1386" s="57"/>
      <c r="Q1386" s="57"/>
      <c r="R1386" s="57"/>
      <c r="S1386" s="57"/>
      <c r="T1386" s="57"/>
      <c r="U1386" s="57"/>
      <c r="V1386" s="57"/>
      <c r="W1386" s="57"/>
      <c r="X1386" s="57"/>
      <c r="Y1386" s="57"/>
      <c r="Z1386" s="57"/>
      <c r="AA1386" s="57"/>
      <c r="AB1386" s="57"/>
      <c r="AC1386" s="57"/>
      <c r="AD1386" s="57"/>
      <c r="AE1386" s="57"/>
      <c r="AF1386" s="57"/>
    </row>
    <row r="1387" spans="1:32" x14ac:dyDescent="0.2">
      <c r="A1387" s="57"/>
      <c r="B1387" s="57"/>
      <c r="C1387" s="57"/>
      <c r="D1387" s="57"/>
      <c r="E1387" s="57"/>
      <c r="F1387" s="985"/>
      <c r="G1387" s="57"/>
      <c r="H1387" s="57"/>
      <c r="I1387" s="990"/>
      <c r="J1387" s="57"/>
      <c r="K1387" s="57"/>
      <c r="L1387" s="57"/>
      <c r="M1387" s="57"/>
      <c r="N1387" s="57"/>
      <c r="O1387" s="57"/>
      <c r="P1387" s="57"/>
      <c r="Q1387" s="57"/>
      <c r="R1387" s="57"/>
      <c r="S1387" s="57"/>
      <c r="T1387" s="57"/>
      <c r="U1387" s="57"/>
      <c r="V1387" s="57"/>
      <c r="W1387" s="57"/>
      <c r="X1387" s="57"/>
      <c r="Y1387" s="57"/>
      <c r="Z1387" s="57"/>
      <c r="AA1387" s="57"/>
      <c r="AB1387" s="57"/>
      <c r="AC1387" s="57"/>
      <c r="AD1387" s="57"/>
      <c r="AE1387" s="57"/>
      <c r="AF1387" s="57"/>
    </row>
    <row r="1388" spans="1:32" x14ac:dyDescent="0.2">
      <c r="A1388" s="57"/>
      <c r="B1388" s="57"/>
      <c r="C1388" s="57"/>
      <c r="D1388" s="57"/>
      <c r="E1388" s="57"/>
      <c r="F1388" s="985"/>
      <c r="G1388" s="57"/>
      <c r="H1388" s="57"/>
      <c r="I1388" s="990"/>
      <c r="J1388" s="57"/>
      <c r="K1388" s="57"/>
      <c r="L1388" s="57"/>
      <c r="M1388" s="57"/>
      <c r="N1388" s="57"/>
      <c r="O1388" s="57"/>
      <c r="P1388" s="57"/>
      <c r="Q1388" s="57"/>
      <c r="R1388" s="57"/>
      <c r="S1388" s="57"/>
      <c r="T1388" s="57"/>
      <c r="U1388" s="57"/>
      <c r="V1388" s="57"/>
      <c r="W1388" s="57"/>
      <c r="X1388" s="57"/>
      <c r="Y1388" s="57"/>
      <c r="Z1388" s="57"/>
      <c r="AA1388" s="57"/>
      <c r="AB1388" s="57"/>
      <c r="AC1388" s="57"/>
      <c r="AD1388" s="57"/>
      <c r="AE1388" s="57"/>
      <c r="AF1388" s="57"/>
    </row>
    <row r="1389" spans="1:32" x14ac:dyDescent="0.2">
      <c r="A1389" s="57"/>
      <c r="B1389" s="57"/>
      <c r="C1389" s="57"/>
      <c r="D1389" s="57"/>
      <c r="E1389" s="57"/>
      <c r="F1389" s="985"/>
      <c r="G1389" s="57"/>
      <c r="H1389" s="57"/>
      <c r="I1389" s="990"/>
      <c r="J1389" s="57"/>
      <c r="K1389" s="57"/>
      <c r="L1389" s="57"/>
      <c r="M1389" s="57"/>
      <c r="N1389" s="57"/>
      <c r="O1389" s="57"/>
      <c r="P1389" s="57"/>
      <c r="Q1389" s="57"/>
      <c r="R1389" s="57"/>
      <c r="S1389" s="57"/>
      <c r="T1389" s="57"/>
      <c r="U1389" s="57"/>
      <c r="V1389" s="57"/>
      <c r="W1389" s="57"/>
      <c r="X1389" s="57"/>
      <c r="Y1389" s="57"/>
      <c r="Z1389" s="57"/>
      <c r="AA1389" s="57"/>
      <c r="AB1389" s="57"/>
      <c r="AC1389" s="57"/>
      <c r="AD1389" s="57"/>
      <c r="AE1389" s="57"/>
      <c r="AF1389" s="57"/>
    </row>
    <row r="1390" spans="1:32" x14ac:dyDescent="0.2">
      <c r="A1390" s="57"/>
      <c r="B1390" s="57"/>
      <c r="C1390" s="57"/>
      <c r="D1390" s="57"/>
      <c r="E1390" s="57"/>
      <c r="F1390" s="985"/>
      <c r="G1390" s="57"/>
      <c r="H1390" s="57"/>
      <c r="I1390" s="990"/>
      <c r="J1390" s="57"/>
      <c r="K1390" s="57"/>
      <c r="L1390" s="57"/>
      <c r="M1390" s="57"/>
      <c r="N1390" s="57"/>
      <c r="O1390" s="57"/>
      <c r="P1390" s="57"/>
      <c r="Q1390" s="57"/>
      <c r="R1390" s="57"/>
      <c r="S1390" s="57"/>
      <c r="T1390" s="57"/>
      <c r="U1390" s="57"/>
      <c r="V1390" s="57"/>
      <c r="W1390" s="57"/>
      <c r="X1390" s="57"/>
      <c r="Y1390" s="57"/>
      <c r="Z1390" s="57"/>
      <c r="AA1390" s="57"/>
      <c r="AB1390" s="57"/>
      <c r="AC1390" s="57"/>
      <c r="AD1390" s="57"/>
      <c r="AE1390" s="57"/>
      <c r="AF1390" s="57"/>
    </row>
    <row r="1391" spans="1:32" x14ac:dyDescent="0.2">
      <c r="A1391" s="57"/>
      <c r="B1391" s="57"/>
      <c r="C1391" s="57"/>
      <c r="D1391" s="57"/>
      <c r="E1391" s="57"/>
      <c r="F1391" s="985"/>
      <c r="G1391" s="57"/>
      <c r="H1391" s="57"/>
      <c r="I1391" s="990"/>
      <c r="J1391" s="57"/>
      <c r="K1391" s="57"/>
      <c r="L1391" s="57"/>
      <c r="M1391" s="57"/>
      <c r="N1391" s="57"/>
      <c r="O1391" s="57"/>
      <c r="P1391" s="57"/>
      <c r="Q1391" s="57"/>
      <c r="R1391" s="57"/>
      <c r="S1391" s="57"/>
      <c r="T1391" s="57"/>
      <c r="U1391" s="57"/>
      <c r="V1391" s="57"/>
      <c r="W1391" s="57"/>
      <c r="X1391" s="57"/>
      <c r="Y1391" s="57"/>
      <c r="Z1391" s="57"/>
      <c r="AA1391" s="57"/>
      <c r="AB1391" s="57"/>
      <c r="AC1391" s="57"/>
      <c r="AD1391" s="57"/>
      <c r="AE1391" s="57"/>
      <c r="AF1391" s="57"/>
    </row>
    <row r="1392" spans="1:32" x14ac:dyDescent="0.2">
      <c r="A1392" s="57"/>
      <c r="B1392" s="57"/>
      <c r="C1392" s="57"/>
      <c r="D1392" s="57"/>
      <c r="E1392" s="57"/>
      <c r="F1392" s="985"/>
      <c r="G1392" s="57"/>
      <c r="H1392" s="57"/>
      <c r="I1392" s="990"/>
      <c r="J1392" s="57"/>
      <c r="K1392" s="57"/>
      <c r="L1392" s="57"/>
      <c r="M1392" s="57"/>
      <c r="N1392" s="57"/>
      <c r="O1392" s="57"/>
      <c r="P1392" s="57"/>
      <c r="Q1392" s="57"/>
      <c r="R1392" s="57"/>
      <c r="S1392" s="57"/>
      <c r="T1392" s="57"/>
      <c r="U1392" s="57"/>
      <c r="V1392" s="57"/>
      <c r="W1392" s="57"/>
      <c r="X1392" s="57"/>
      <c r="Y1392" s="57"/>
      <c r="Z1392" s="57"/>
      <c r="AA1392" s="57"/>
      <c r="AB1392" s="57"/>
      <c r="AC1392" s="57"/>
      <c r="AD1392" s="57"/>
      <c r="AE1392" s="57"/>
      <c r="AF1392" s="57"/>
    </row>
    <row r="1393" spans="1:32" x14ac:dyDescent="0.2">
      <c r="A1393" s="57"/>
      <c r="B1393" s="57"/>
      <c r="C1393" s="57"/>
      <c r="D1393" s="57"/>
      <c r="E1393" s="57"/>
      <c r="F1393" s="985"/>
      <c r="G1393" s="57"/>
      <c r="H1393" s="57"/>
      <c r="I1393" s="990"/>
      <c r="J1393" s="57"/>
      <c r="K1393" s="57"/>
      <c r="L1393" s="57"/>
      <c r="M1393" s="57"/>
      <c r="N1393" s="57"/>
      <c r="O1393" s="57"/>
      <c r="P1393" s="57"/>
      <c r="Q1393" s="57"/>
      <c r="R1393" s="57"/>
      <c r="S1393" s="57"/>
      <c r="T1393" s="57"/>
      <c r="U1393" s="57"/>
      <c r="V1393" s="57"/>
      <c r="W1393" s="57"/>
      <c r="X1393" s="57"/>
      <c r="Y1393" s="57"/>
      <c r="Z1393" s="57"/>
      <c r="AA1393" s="57"/>
      <c r="AB1393" s="57"/>
      <c r="AC1393" s="57"/>
      <c r="AD1393" s="57"/>
      <c r="AE1393" s="57"/>
      <c r="AF1393" s="57"/>
    </row>
    <row r="1394" spans="1:32" x14ac:dyDescent="0.2">
      <c r="A1394" s="57"/>
      <c r="B1394" s="57"/>
      <c r="C1394" s="57"/>
      <c r="D1394" s="57"/>
      <c r="E1394" s="57"/>
      <c r="F1394" s="985"/>
      <c r="G1394" s="57"/>
      <c r="H1394" s="57"/>
      <c r="I1394" s="990"/>
      <c r="J1394" s="57"/>
      <c r="K1394" s="57"/>
      <c r="L1394" s="57"/>
      <c r="M1394" s="57"/>
      <c r="N1394" s="57"/>
      <c r="O1394" s="57"/>
      <c r="P1394" s="57"/>
      <c r="Q1394" s="57"/>
      <c r="R1394" s="57"/>
      <c r="S1394" s="57"/>
      <c r="T1394" s="57"/>
      <c r="U1394" s="57"/>
      <c r="V1394" s="57"/>
      <c r="W1394" s="57"/>
      <c r="X1394" s="57"/>
      <c r="Y1394" s="57"/>
      <c r="Z1394" s="57"/>
      <c r="AA1394" s="57"/>
      <c r="AB1394" s="57"/>
      <c r="AC1394" s="57"/>
      <c r="AD1394" s="57"/>
      <c r="AE1394" s="57"/>
      <c r="AF1394" s="57"/>
    </row>
    <row r="1395" spans="1:32" x14ac:dyDescent="0.2">
      <c r="A1395" s="57"/>
      <c r="B1395" s="57"/>
      <c r="C1395" s="57"/>
      <c r="D1395" s="57"/>
      <c r="E1395" s="57"/>
      <c r="F1395" s="985"/>
      <c r="G1395" s="57"/>
      <c r="H1395" s="57"/>
      <c r="I1395" s="990"/>
      <c r="J1395" s="57"/>
      <c r="K1395" s="57"/>
      <c r="L1395" s="57"/>
      <c r="M1395" s="57"/>
      <c r="N1395" s="57"/>
      <c r="O1395" s="57"/>
      <c r="P1395" s="57"/>
      <c r="Q1395" s="57"/>
      <c r="R1395" s="57"/>
      <c r="S1395" s="57"/>
      <c r="T1395" s="57"/>
      <c r="U1395" s="57"/>
      <c r="V1395" s="57"/>
      <c r="W1395" s="57"/>
      <c r="X1395" s="57"/>
      <c r="Y1395" s="57"/>
      <c r="Z1395" s="57"/>
      <c r="AA1395" s="57"/>
      <c r="AB1395" s="57"/>
      <c r="AC1395" s="57"/>
      <c r="AD1395" s="57"/>
      <c r="AE1395" s="57"/>
      <c r="AF1395" s="57"/>
    </row>
    <row r="1396" spans="1:32" x14ac:dyDescent="0.2">
      <c r="A1396" s="57"/>
      <c r="B1396" s="57"/>
      <c r="C1396" s="57"/>
      <c r="D1396" s="57"/>
      <c r="E1396" s="57"/>
      <c r="F1396" s="985"/>
      <c r="G1396" s="57"/>
      <c r="H1396" s="57"/>
      <c r="I1396" s="990"/>
      <c r="J1396" s="57"/>
      <c r="K1396" s="57"/>
      <c r="L1396" s="57"/>
      <c r="M1396" s="57"/>
      <c r="N1396" s="57"/>
      <c r="O1396" s="57"/>
      <c r="P1396" s="57"/>
      <c r="Q1396" s="57"/>
      <c r="R1396" s="57"/>
      <c r="S1396" s="57"/>
      <c r="T1396" s="57"/>
      <c r="U1396" s="57"/>
      <c r="V1396" s="57"/>
      <c r="W1396" s="57"/>
      <c r="X1396" s="57"/>
      <c r="Y1396" s="57"/>
      <c r="Z1396" s="57"/>
      <c r="AA1396" s="57"/>
      <c r="AB1396" s="57"/>
      <c r="AC1396" s="57"/>
      <c r="AD1396" s="57"/>
      <c r="AE1396" s="57"/>
      <c r="AF1396" s="57"/>
    </row>
    <row r="1397" spans="1:32" x14ac:dyDescent="0.2">
      <c r="A1397" s="57"/>
      <c r="B1397" s="57"/>
      <c r="C1397" s="57"/>
      <c r="D1397" s="57"/>
      <c r="E1397" s="57"/>
      <c r="F1397" s="985"/>
      <c r="G1397" s="57"/>
      <c r="H1397" s="57"/>
      <c r="I1397" s="990"/>
      <c r="J1397" s="57"/>
      <c r="K1397" s="57"/>
      <c r="L1397" s="57"/>
      <c r="M1397" s="57"/>
      <c r="N1397" s="57"/>
      <c r="O1397" s="57"/>
      <c r="P1397" s="57"/>
      <c r="Q1397" s="57"/>
      <c r="R1397" s="57"/>
      <c r="S1397" s="57"/>
      <c r="T1397" s="57"/>
      <c r="U1397" s="57"/>
      <c r="V1397" s="57"/>
      <c r="W1397" s="57"/>
      <c r="X1397" s="57"/>
      <c r="Y1397" s="57"/>
      <c r="Z1397" s="57"/>
      <c r="AA1397" s="57"/>
      <c r="AB1397" s="57"/>
      <c r="AC1397" s="57"/>
      <c r="AD1397" s="57"/>
      <c r="AE1397" s="57"/>
      <c r="AF1397" s="57"/>
    </row>
    <row r="1398" spans="1:32" x14ac:dyDescent="0.2">
      <c r="A1398" s="57"/>
      <c r="B1398" s="57"/>
      <c r="C1398" s="57"/>
      <c r="D1398" s="57"/>
      <c r="E1398" s="57"/>
      <c r="F1398" s="985"/>
      <c r="G1398" s="57"/>
      <c r="H1398" s="57"/>
      <c r="I1398" s="990"/>
      <c r="J1398" s="57"/>
      <c r="K1398" s="57"/>
      <c r="L1398" s="57"/>
      <c r="M1398" s="57"/>
      <c r="N1398" s="57"/>
      <c r="O1398" s="57"/>
      <c r="P1398" s="57"/>
      <c r="Q1398" s="57"/>
      <c r="R1398" s="57"/>
      <c r="S1398" s="57"/>
      <c r="T1398" s="57"/>
      <c r="U1398" s="57"/>
      <c r="V1398" s="57"/>
      <c r="W1398" s="57"/>
      <c r="X1398" s="57"/>
      <c r="Y1398" s="57"/>
      <c r="Z1398" s="57"/>
      <c r="AA1398" s="57"/>
      <c r="AB1398" s="57"/>
      <c r="AC1398" s="57"/>
      <c r="AD1398" s="57"/>
      <c r="AE1398" s="57"/>
      <c r="AF1398" s="57"/>
    </row>
    <row r="1399" spans="1:32" x14ac:dyDescent="0.2">
      <c r="A1399" s="57"/>
      <c r="B1399" s="57"/>
      <c r="C1399" s="57"/>
      <c r="D1399" s="57"/>
      <c r="E1399" s="57"/>
      <c r="F1399" s="985"/>
      <c r="G1399" s="57"/>
      <c r="H1399" s="57"/>
      <c r="I1399" s="990"/>
      <c r="J1399" s="57"/>
      <c r="K1399" s="57"/>
      <c r="L1399" s="57"/>
      <c r="M1399" s="57"/>
      <c r="N1399" s="57"/>
      <c r="O1399" s="57"/>
      <c r="P1399" s="57"/>
      <c r="Q1399" s="57"/>
      <c r="R1399" s="57"/>
      <c r="S1399" s="57"/>
      <c r="T1399" s="57"/>
      <c r="U1399" s="57"/>
      <c r="V1399" s="57"/>
      <c r="W1399" s="57"/>
      <c r="X1399" s="57"/>
      <c r="Y1399" s="57"/>
      <c r="Z1399" s="57"/>
      <c r="AA1399" s="57"/>
      <c r="AB1399" s="57"/>
      <c r="AC1399" s="57"/>
      <c r="AD1399" s="57"/>
      <c r="AE1399" s="57"/>
      <c r="AF1399" s="57"/>
    </row>
    <row r="1400" spans="1:32" x14ac:dyDescent="0.2">
      <c r="A1400" s="57"/>
      <c r="B1400" s="57"/>
      <c r="C1400" s="57"/>
      <c r="D1400" s="57"/>
      <c r="E1400" s="57"/>
      <c r="F1400" s="985"/>
      <c r="G1400" s="57"/>
      <c r="H1400" s="57"/>
      <c r="I1400" s="990"/>
      <c r="J1400" s="57"/>
      <c r="K1400" s="57"/>
      <c r="L1400" s="57"/>
      <c r="M1400" s="57"/>
      <c r="N1400" s="57"/>
      <c r="O1400" s="57"/>
      <c r="P1400" s="57"/>
      <c r="Q1400" s="57"/>
      <c r="R1400" s="57"/>
      <c r="S1400" s="57"/>
      <c r="T1400" s="57"/>
      <c r="U1400" s="57"/>
      <c r="V1400" s="57"/>
      <c r="W1400" s="57"/>
      <c r="X1400" s="57"/>
      <c r="Y1400" s="57"/>
      <c r="Z1400" s="57"/>
      <c r="AA1400" s="57"/>
      <c r="AB1400" s="57"/>
      <c r="AC1400" s="57"/>
      <c r="AD1400" s="57"/>
      <c r="AE1400" s="57"/>
      <c r="AF1400" s="57"/>
    </row>
    <row r="1401" spans="1:32" x14ac:dyDescent="0.2">
      <c r="A1401" s="57"/>
      <c r="B1401" s="57"/>
      <c r="C1401" s="57"/>
      <c r="D1401" s="57"/>
      <c r="E1401" s="57"/>
      <c r="F1401" s="985"/>
      <c r="G1401" s="57"/>
      <c r="H1401" s="57"/>
      <c r="I1401" s="990"/>
      <c r="J1401" s="57"/>
      <c r="K1401" s="57"/>
      <c r="L1401" s="57"/>
      <c r="M1401" s="57"/>
      <c r="N1401" s="57"/>
      <c r="O1401" s="57"/>
      <c r="P1401" s="57"/>
      <c r="Q1401" s="57"/>
      <c r="R1401" s="57"/>
      <c r="S1401" s="57"/>
      <c r="T1401" s="57"/>
      <c r="U1401" s="57"/>
      <c r="V1401" s="57"/>
      <c r="W1401" s="57"/>
      <c r="X1401" s="57"/>
      <c r="Y1401" s="57"/>
      <c r="Z1401" s="57"/>
      <c r="AA1401" s="57"/>
      <c r="AB1401" s="57"/>
      <c r="AC1401" s="57"/>
      <c r="AD1401" s="57"/>
      <c r="AE1401" s="57"/>
      <c r="AF1401" s="57"/>
    </row>
    <row r="1402" spans="1:32" x14ac:dyDescent="0.2">
      <c r="A1402" s="57"/>
      <c r="B1402" s="57"/>
      <c r="C1402" s="57"/>
      <c r="D1402" s="57"/>
      <c r="E1402" s="57"/>
      <c r="F1402" s="985"/>
      <c r="G1402" s="57"/>
      <c r="H1402" s="57"/>
      <c r="I1402" s="990"/>
      <c r="J1402" s="57"/>
      <c r="K1402" s="57"/>
      <c r="L1402" s="57"/>
      <c r="M1402" s="57"/>
      <c r="N1402" s="57"/>
      <c r="O1402" s="57"/>
      <c r="P1402" s="57"/>
      <c r="Q1402" s="57"/>
      <c r="R1402" s="57"/>
      <c r="S1402" s="57"/>
      <c r="T1402" s="57"/>
      <c r="U1402" s="57"/>
      <c r="V1402" s="57"/>
      <c r="W1402" s="57"/>
      <c r="X1402" s="57"/>
      <c r="Y1402" s="57"/>
      <c r="Z1402" s="57"/>
      <c r="AA1402" s="57"/>
      <c r="AB1402" s="57"/>
      <c r="AC1402" s="57"/>
      <c r="AD1402" s="57"/>
      <c r="AE1402" s="57"/>
      <c r="AF1402" s="57"/>
    </row>
    <row r="1403" spans="1:32" x14ac:dyDescent="0.2">
      <c r="A1403" s="57"/>
      <c r="B1403" s="57"/>
      <c r="C1403" s="57"/>
      <c r="D1403" s="57"/>
      <c r="E1403" s="57"/>
      <c r="F1403" s="985"/>
      <c r="G1403" s="57"/>
      <c r="H1403" s="57"/>
      <c r="I1403" s="990"/>
      <c r="J1403" s="57"/>
      <c r="K1403" s="57"/>
      <c r="L1403" s="57"/>
      <c r="M1403" s="57"/>
      <c r="N1403" s="57"/>
      <c r="O1403" s="57"/>
      <c r="P1403" s="57"/>
      <c r="Q1403" s="57"/>
      <c r="R1403" s="57"/>
      <c r="S1403" s="57"/>
      <c r="T1403" s="57"/>
      <c r="U1403" s="57"/>
      <c r="V1403" s="57"/>
      <c r="W1403" s="57"/>
      <c r="X1403" s="57"/>
      <c r="Y1403" s="57"/>
      <c r="Z1403" s="57"/>
      <c r="AA1403" s="57"/>
      <c r="AB1403" s="57"/>
      <c r="AC1403" s="57"/>
      <c r="AD1403" s="57"/>
      <c r="AE1403" s="57"/>
      <c r="AF1403" s="57"/>
    </row>
    <row r="1404" spans="1:32" x14ac:dyDescent="0.2">
      <c r="A1404" s="57"/>
      <c r="B1404" s="57"/>
      <c r="C1404" s="57"/>
      <c r="D1404" s="57"/>
      <c r="E1404" s="57"/>
      <c r="F1404" s="985"/>
      <c r="G1404" s="57"/>
      <c r="H1404" s="57"/>
      <c r="I1404" s="990"/>
      <c r="J1404" s="57"/>
      <c r="K1404" s="57"/>
      <c r="L1404" s="57"/>
      <c r="M1404" s="57"/>
      <c r="N1404" s="57"/>
      <c r="O1404" s="57"/>
      <c r="P1404" s="57"/>
      <c r="Q1404" s="57"/>
      <c r="R1404" s="57"/>
      <c r="S1404" s="57"/>
      <c r="T1404" s="57"/>
      <c r="U1404" s="57"/>
      <c r="V1404" s="57"/>
      <c r="W1404" s="57"/>
      <c r="X1404" s="57"/>
      <c r="Y1404" s="57"/>
      <c r="Z1404" s="57"/>
      <c r="AA1404" s="57"/>
      <c r="AB1404" s="57"/>
      <c r="AC1404" s="57"/>
      <c r="AD1404" s="57"/>
      <c r="AE1404" s="57"/>
      <c r="AF1404" s="57"/>
    </row>
    <row r="1405" spans="1:32" x14ac:dyDescent="0.2">
      <c r="A1405" s="57"/>
      <c r="B1405" s="57"/>
      <c r="C1405" s="57"/>
      <c r="D1405" s="57"/>
      <c r="E1405" s="57"/>
      <c r="F1405" s="985"/>
      <c r="G1405" s="57"/>
      <c r="H1405" s="57"/>
      <c r="I1405" s="990"/>
      <c r="J1405" s="57"/>
      <c r="K1405" s="57"/>
      <c r="L1405" s="57"/>
      <c r="M1405" s="57"/>
      <c r="N1405" s="57"/>
      <c r="O1405" s="57"/>
      <c r="P1405" s="57"/>
      <c r="Q1405" s="57"/>
      <c r="R1405" s="57"/>
      <c r="S1405" s="57"/>
      <c r="T1405" s="57"/>
      <c r="U1405" s="57"/>
      <c r="V1405" s="57"/>
      <c r="W1405" s="57"/>
      <c r="X1405" s="57"/>
      <c r="Y1405" s="57"/>
      <c r="Z1405" s="57"/>
      <c r="AA1405" s="57"/>
      <c r="AB1405" s="57"/>
      <c r="AC1405" s="57"/>
      <c r="AD1405" s="57"/>
      <c r="AE1405" s="57"/>
      <c r="AF1405" s="57"/>
    </row>
    <row r="1406" spans="1:32" x14ac:dyDescent="0.2">
      <c r="A1406" s="57"/>
      <c r="B1406" s="57"/>
      <c r="C1406" s="57"/>
      <c r="D1406" s="57"/>
      <c r="E1406" s="57"/>
      <c r="F1406" s="985"/>
      <c r="G1406" s="57"/>
      <c r="H1406" s="57"/>
      <c r="I1406" s="990"/>
      <c r="J1406" s="57"/>
      <c r="K1406" s="57"/>
      <c r="L1406" s="57"/>
      <c r="M1406" s="57"/>
      <c r="N1406" s="57"/>
      <c r="O1406" s="57"/>
      <c r="P1406" s="57"/>
      <c r="Q1406" s="57"/>
      <c r="R1406" s="57"/>
      <c r="S1406" s="57"/>
      <c r="T1406" s="57"/>
      <c r="U1406" s="57"/>
      <c r="V1406" s="57"/>
      <c r="W1406" s="57"/>
      <c r="X1406" s="57"/>
      <c r="Y1406" s="57"/>
      <c r="Z1406" s="57"/>
      <c r="AA1406" s="57"/>
      <c r="AB1406" s="57"/>
      <c r="AC1406" s="57"/>
      <c r="AD1406" s="57"/>
      <c r="AE1406" s="57"/>
      <c r="AF1406" s="57"/>
    </row>
    <row r="1407" spans="1:32" x14ac:dyDescent="0.2">
      <c r="A1407" s="57"/>
      <c r="B1407" s="57"/>
      <c r="C1407" s="57"/>
      <c r="D1407" s="57"/>
      <c r="E1407" s="57"/>
      <c r="F1407" s="985"/>
      <c r="G1407" s="57"/>
      <c r="H1407" s="57"/>
      <c r="I1407" s="990"/>
      <c r="J1407" s="57"/>
      <c r="K1407" s="57"/>
      <c r="L1407" s="57"/>
      <c r="M1407" s="57"/>
      <c r="N1407" s="57"/>
      <c r="O1407" s="57"/>
      <c r="P1407" s="57"/>
      <c r="Q1407" s="57"/>
      <c r="R1407" s="57"/>
      <c r="S1407" s="57"/>
      <c r="T1407" s="57"/>
      <c r="U1407" s="57"/>
      <c r="V1407" s="57"/>
      <c r="W1407" s="57"/>
      <c r="X1407" s="57"/>
      <c r="Y1407" s="57"/>
      <c r="Z1407" s="57"/>
      <c r="AA1407" s="57"/>
      <c r="AB1407" s="57"/>
      <c r="AC1407" s="57"/>
      <c r="AD1407" s="57"/>
      <c r="AE1407" s="57"/>
      <c r="AF1407" s="57"/>
    </row>
    <row r="1408" spans="1:32" x14ac:dyDescent="0.2">
      <c r="A1408" s="57"/>
      <c r="B1408" s="57"/>
      <c r="C1408" s="57"/>
      <c r="D1408" s="57"/>
      <c r="E1408" s="57"/>
      <c r="F1408" s="985"/>
      <c r="G1408" s="57"/>
      <c r="H1408" s="57"/>
      <c r="I1408" s="990"/>
      <c r="J1408" s="57"/>
      <c r="K1408" s="57"/>
      <c r="L1408" s="57"/>
      <c r="M1408" s="57"/>
      <c r="N1408" s="57"/>
      <c r="O1408" s="57"/>
      <c r="P1408" s="57"/>
      <c r="Q1408" s="57"/>
      <c r="R1408" s="57"/>
      <c r="S1408" s="57"/>
      <c r="T1408" s="57"/>
      <c r="U1408" s="57"/>
      <c r="V1408" s="57"/>
      <c r="W1408" s="57"/>
      <c r="X1408" s="57"/>
      <c r="Y1408" s="57"/>
      <c r="Z1408" s="57"/>
      <c r="AA1408" s="57"/>
      <c r="AB1408" s="57"/>
      <c r="AC1408" s="57"/>
      <c r="AD1408" s="57"/>
      <c r="AE1408" s="57"/>
      <c r="AF1408" s="57"/>
    </row>
    <row r="1409" spans="1:32" x14ac:dyDescent="0.2">
      <c r="A1409" s="57"/>
      <c r="B1409" s="57"/>
      <c r="C1409" s="57"/>
      <c r="D1409" s="57"/>
      <c r="E1409" s="57"/>
      <c r="F1409" s="985"/>
      <c r="G1409" s="57"/>
      <c r="H1409" s="57"/>
      <c r="I1409" s="990"/>
      <c r="J1409" s="57"/>
      <c r="K1409" s="57"/>
      <c r="L1409" s="57"/>
      <c r="M1409" s="57"/>
      <c r="N1409" s="57"/>
      <c r="O1409" s="57"/>
      <c r="P1409" s="57"/>
      <c r="Q1409" s="57"/>
      <c r="R1409" s="57"/>
      <c r="S1409" s="57"/>
      <c r="T1409" s="57"/>
      <c r="U1409" s="57"/>
      <c r="V1409" s="57"/>
      <c r="W1409" s="57"/>
      <c r="X1409" s="57"/>
      <c r="Y1409" s="57"/>
      <c r="Z1409" s="57"/>
      <c r="AA1409" s="57"/>
      <c r="AB1409" s="57"/>
      <c r="AC1409" s="57"/>
      <c r="AD1409" s="57"/>
      <c r="AE1409" s="57"/>
      <c r="AF1409" s="57"/>
    </row>
    <row r="1410" spans="1:32" x14ac:dyDescent="0.2">
      <c r="A1410" s="57"/>
      <c r="B1410" s="57"/>
      <c r="C1410" s="57"/>
      <c r="D1410" s="57"/>
      <c r="E1410" s="57"/>
      <c r="F1410" s="985"/>
      <c r="G1410" s="57"/>
      <c r="H1410" s="57"/>
      <c r="I1410" s="990"/>
      <c r="J1410" s="57"/>
      <c r="K1410" s="57"/>
      <c r="L1410" s="57"/>
      <c r="M1410" s="57"/>
      <c r="N1410" s="57"/>
      <c r="O1410" s="57"/>
      <c r="P1410" s="57"/>
      <c r="Q1410" s="57"/>
      <c r="R1410" s="57"/>
      <c r="S1410" s="57"/>
      <c r="T1410" s="57"/>
      <c r="U1410" s="57"/>
      <c r="V1410" s="57"/>
      <c r="W1410" s="57"/>
      <c r="X1410" s="57"/>
      <c r="Y1410" s="57"/>
      <c r="Z1410" s="57"/>
      <c r="AA1410" s="57"/>
      <c r="AB1410" s="57"/>
      <c r="AC1410" s="57"/>
      <c r="AD1410" s="57"/>
      <c r="AE1410" s="57"/>
      <c r="AF1410" s="57"/>
    </row>
    <row r="1411" spans="1:32" x14ac:dyDescent="0.2">
      <c r="A1411" s="57"/>
      <c r="B1411" s="57"/>
      <c r="C1411" s="57"/>
      <c r="D1411" s="57"/>
      <c r="E1411" s="57"/>
      <c r="F1411" s="985"/>
      <c r="G1411" s="57"/>
      <c r="H1411" s="57"/>
      <c r="I1411" s="990"/>
      <c r="J1411" s="57"/>
      <c r="K1411" s="57"/>
      <c r="L1411" s="57"/>
      <c r="M1411" s="57"/>
      <c r="N1411" s="57"/>
      <c r="O1411" s="57"/>
      <c r="P1411" s="57"/>
      <c r="Q1411" s="57"/>
      <c r="R1411" s="57"/>
      <c r="S1411" s="57"/>
      <c r="T1411" s="57"/>
      <c r="U1411" s="57"/>
      <c r="V1411" s="57"/>
      <c r="W1411" s="57"/>
      <c r="X1411" s="57"/>
      <c r="Y1411" s="57"/>
      <c r="Z1411" s="57"/>
      <c r="AA1411" s="57"/>
      <c r="AB1411" s="57"/>
      <c r="AC1411" s="57"/>
      <c r="AD1411" s="57"/>
      <c r="AE1411" s="57"/>
      <c r="AF1411" s="57"/>
    </row>
    <row r="1412" spans="1:32" x14ac:dyDescent="0.2">
      <c r="A1412" s="57"/>
      <c r="B1412" s="57"/>
      <c r="C1412" s="57"/>
      <c r="D1412" s="57"/>
      <c r="E1412" s="57"/>
      <c r="F1412" s="985"/>
      <c r="G1412" s="57"/>
      <c r="H1412" s="57"/>
      <c r="I1412" s="990"/>
      <c r="J1412" s="57"/>
      <c r="K1412" s="57"/>
      <c r="L1412" s="57"/>
      <c r="M1412" s="57"/>
      <c r="N1412" s="57"/>
      <c r="O1412" s="57"/>
      <c r="P1412" s="57"/>
      <c r="Q1412" s="57"/>
      <c r="R1412" s="57"/>
      <c r="S1412" s="57"/>
      <c r="T1412" s="57"/>
      <c r="U1412" s="57"/>
      <c r="V1412" s="57"/>
      <c r="W1412" s="57"/>
      <c r="X1412" s="57"/>
      <c r="Y1412" s="57"/>
      <c r="Z1412" s="57"/>
      <c r="AA1412" s="57"/>
      <c r="AB1412" s="57"/>
      <c r="AC1412" s="57"/>
      <c r="AD1412" s="57"/>
      <c r="AE1412" s="57"/>
      <c r="AF1412" s="57"/>
    </row>
    <row r="1413" spans="1:32" x14ac:dyDescent="0.2">
      <c r="A1413" s="57"/>
      <c r="B1413" s="57"/>
      <c r="C1413" s="57"/>
      <c r="D1413" s="57"/>
      <c r="E1413" s="57"/>
      <c r="F1413" s="985"/>
      <c r="G1413" s="57"/>
      <c r="H1413" s="57"/>
      <c r="I1413" s="990"/>
      <c r="J1413" s="57"/>
      <c r="K1413" s="57"/>
      <c r="L1413" s="57"/>
      <c r="M1413" s="57"/>
      <c r="N1413" s="57"/>
      <c r="O1413" s="57"/>
      <c r="P1413" s="57"/>
      <c r="Q1413" s="57"/>
      <c r="R1413" s="57"/>
      <c r="S1413" s="57"/>
      <c r="T1413" s="57"/>
      <c r="U1413" s="57"/>
      <c r="V1413" s="57"/>
      <c r="W1413" s="57"/>
      <c r="X1413" s="57"/>
      <c r="Y1413" s="57"/>
      <c r="Z1413" s="57"/>
      <c r="AA1413" s="57"/>
      <c r="AB1413" s="57"/>
      <c r="AC1413" s="57"/>
      <c r="AD1413" s="57"/>
      <c r="AE1413" s="57"/>
      <c r="AF1413" s="57"/>
    </row>
    <row r="1414" spans="1:32" x14ac:dyDescent="0.2">
      <c r="A1414" s="57"/>
      <c r="B1414" s="57"/>
      <c r="C1414" s="57"/>
      <c r="D1414" s="57"/>
      <c r="E1414" s="57"/>
      <c r="F1414" s="985"/>
      <c r="G1414" s="57"/>
      <c r="H1414" s="57"/>
      <c r="I1414" s="990"/>
      <c r="J1414" s="57"/>
      <c r="K1414" s="57"/>
      <c r="L1414" s="57"/>
      <c r="M1414" s="57"/>
      <c r="N1414" s="57"/>
      <c r="O1414" s="57"/>
      <c r="P1414" s="57"/>
      <c r="Q1414" s="57"/>
      <c r="R1414" s="57"/>
      <c r="S1414" s="57"/>
      <c r="T1414" s="57"/>
      <c r="U1414" s="57"/>
      <c r="V1414" s="57"/>
      <c r="W1414" s="57"/>
      <c r="X1414" s="57"/>
      <c r="Y1414" s="57"/>
      <c r="Z1414" s="57"/>
      <c r="AA1414" s="57"/>
      <c r="AB1414" s="57"/>
      <c r="AC1414" s="57"/>
      <c r="AD1414" s="57"/>
      <c r="AE1414" s="57"/>
      <c r="AF1414" s="57"/>
    </row>
    <row r="1415" spans="1:32" x14ac:dyDescent="0.2">
      <c r="A1415" s="57"/>
      <c r="B1415" s="57"/>
      <c r="C1415" s="57"/>
      <c r="D1415" s="57"/>
      <c r="E1415" s="57"/>
      <c r="F1415" s="985"/>
      <c r="G1415" s="57"/>
      <c r="H1415" s="57"/>
      <c r="I1415" s="990"/>
      <c r="J1415" s="57"/>
      <c r="K1415" s="57"/>
      <c r="L1415" s="57"/>
      <c r="M1415" s="57"/>
      <c r="N1415" s="57"/>
      <c r="O1415" s="57"/>
      <c r="P1415" s="57"/>
      <c r="Q1415" s="57"/>
      <c r="R1415" s="57"/>
      <c r="S1415" s="57"/>
      <c r="T1415" s="57"/>
      <c r="U1415" s="57"/>
      <c r="V1415" s="57"/>
      <c r="W1415" s="57"/>
      <c r="X1415" s="57"/>
      <c r="Y1415" s="57"/>
      <c r="Z1415" s="57"/>
      <c r="AA1415" s="57"/>
      <c r="AB1415" s="57"/>
      <c r="AC1415" s="57"/>
      <c r="AD1415" s="57"/>
      <c r="AE1415" s="57"/>
      <c r="AF1415" s="57"/>
    </row>
    <row r="1416" spans="1:32" x14ac:dyDescent="0.2">
      <c r="A1416" s="57"/>
      <c r="B1416" s="57"/>
      <c r="C1416" s="57"/>
      <c r="D1416" s="57"/>
      <c r="E1416" s="57"/>
      <c r="F1416" s="985"/>
      <c r="G1416" s="57"/>
      <c r="H1416" s="57"/>
      <c r="I1416" s="990"/>
      <c r="J1416" s="57"/>
      <c r="K1416" s="57"/>
      <c r="L1416" s="57"/>
      <c r="M1416" s="57"/>
      <c r="N1416" s="57"/>
      <c r="O1416" s="57"/>
      <c r="P1416" s="57"/>
      <c r="Q1416" s="57"/>
      <c r="R1416" s="57"/>
      <c r="S1416" s="57"/>
      <c r="T1416" s="57"/>
      <c r="U1416" s="57"/>
      <c r="V1416" s="57"/>
      <c r="W1416" s="57"/>
      <c r="X1416" s="57"/>
      <c r="Y1416" s="57"/>
      <c r="Z1416" s="57"/>
      <c r="AA1416" s="57"/>
      <c r="AB1416" s="57"/>
      <c r="AC1416" s="57"/>
      <c r="AD1416" s="57"/>
      <c r="AE1416" s="57"/>
      <c r="AF1416" s="57"/>
    </row>
    <row r="1417" spans="1:32" x14ac:dyDescent="0.2">
      <c r="A1417" s="57"/>
      <c r="B1417" s="57"/>
      <c r="C1417" s="57"/>
      <c r="D1417" s="57"/>
      <c r="E1417" s="57"/>
      <c r="F1417" s="985"/>
      <c r="G1417" s="57"/>
      <c r="H1417" s="57"/>
      <c r="I1417" s="990"/>
      <c r="J1417" s="57"/>
      <c r="K1417" s="57"/>
      <c r="L1417" s="57"/>
      <c r="M1417" s="57"/>
      <c r="N1417" s="57"/>
      <c r="O1417" s="57"/>
      <c r="P1417" s="57"/>
      <c r="Q1417" s="57"/>
      <c r="R1417" s="57"/>
      <c r="S1417" s="57"/>
      <c r="T1417" s="57"/>
      <c r="U1417" s="57"/>
      <c r="V1417" s="57"/>
      <c r="W1417" s="57"/>
      <c r="X1417" s="57"/>
      <c r="Y1417" s="57"/>
      <c r="Z1417" s="57"/>
      <c r="AA1417" s="57"/>
      <c r="AB1417" s="57"/>
      <c r="AC1417" s="57"/>
      <c r="AD1417" s="57"/>
      <c r="AE1417" s="57"/>
      <c r="AF1417" s="57"/>
    </row>
    <row r="1418" spans="1:32" x14ac:dyDescent="0.2">
      <c r="A1418" s="57"/>
      <c r="B1418" s="57"/>
      <c r="C1418" s="57"/>
      <c r="D1418" s="57"/>
      <c r="E1418" s="57"/>
      <c r="F1418" s="985"/>
      <c r="G1418" s="57"/>
      <c r="H1418" s="57"/>
      <c r="I1418" s="990"/>
      <c r="J1418" s="57"/>
      <c r="K1418" s="57"/>
      <c r="L1418" s="57"/>
      <c r="M1418" s="57"/>
      <c r="N1418" s="57"/>
      <c r="O1418" s="57"/>
      <c r="P1418" s="57"/>
      <c r="Q1418" s="57"/>
      <c r="R1418" s="57"/>
      <c r="S1418" s="57"/>
      <c r="T1418" s="57"/>
      <c r="U1418" s="57"/>
      <c r="V1418" s="57"/>
      <c r="W1418" s="57"/>
      <c r="X1418" s="57"/>
      <c r="Y1418" s="57"/>
      <c r="Z1418" s="57"/>
      <c r="AA1418" s="57"/>
      <c r="AB1418" s="57"/>
      <c r="AC1418" s="57"/>
      <c r="AD1418" s="57"/>
      <c r="AE1418" s="57"/>
      <c r="AF1418" s="57"/>
    </row>
    <row r="1419" spans="1:32" x14ac:dyDescent="0.2">
      <c r="A1419" s="57"/>
      <c r="B1419" s="57"/>
      <c r="C1419" s="57"/>
      <c r="D1419" s="57"/>
      <c r="E1419" s="57"/>
      <c r="F1419" s="985"/>
      <c r="G1419" s="57"/>
      <c r="H1419" s="57"/>
      <c r="I1419" s="990"/>
      <c r="J1419" s="57"/>
      <c r="K1419" s="57"/>
      <c r="L1419" s="57"/>
      <c r="M1419" s="57"/>
      <c r="N1419" s="57"/>
      <c r="O1419" s="57"/>
      <c r="P1419" s="57"/>
      <c r="Q1419" s="57"/>
      <c r="R1419" s="57"/>
      <c r="S1419" s="57"/>
      <c r="T1419" s="57"/>
      <c r="U1419" s="57"/>
      <c r="V1419" s="57"/>
      <c r="W1419" s="57"/>
      <c r="X1419" s="57"/>
      <c r="Y1419" s="57"/>
      <c r="Z1419" s="57"/>
      <c r="AA1419" s="57"/>
      <c r="AB1419" s="57"/>
      <c r="AC1419" s="57"/>
      <c r="AD1419" s="57"/>
      <c r="AE1419" s="57"/>
      <c r="AF1419" s="57"/>
    </row>
    <row r="1420" spans="1:32" x14ac:dyDescent="0.2">
      <c r="A1420" s="57"/>
      <c r="B1420" s="57"/>
      <c r="C1420" s="57"/>
      <c r="D1420" s="57"/>
      <c r="E1420" s="57"/>
      <c r="F1420" s="985"/>
      <c r="G1420" s="57"/>
      <c r="H1420" s="57"/>
      <c r="I1420" s="990"/>
      <c r="J1420" s="57"/>
      <c r="K1420" s="57"/>
      <c r="L1420" s="57"/>
      <c r="M1420" s="57"/>
      <c r="N1420" s="57"/>
      <c r="O1420" s="57"/>
      <c r="P1420" s="57"/>
      <c r="Q1420" s="57"/>
      <c r="R1420" s="57"/>
      <c r="S1420" s="57"/>
      <c r="T1420" s="57"/>
      <c r="U1420" s="57"/>
      <c r="V1420" s="57"/>
      <c r="W1420" s="57"/>
      <c r="X1420" s="57"/>
      <c r="Y1420" s="57"/>
      <c r="Z1420" s="57"/>
      <c r="AA1420" s="57"/>
      <c r="AB1420" s="57"/>
      <c r="AC1420" s="57"/>
      <c r="AD1420" s="57"/>
      <c r="AE1420" s="57"/>
      <c r="AF1420" s="57"/>
    </row>
    <row r="1421" spans="1:32" x14ac:dyDescent="0.2">
      <c r="A1421" s="57"/>
      <c r="B1421" s="57"/>
      <c r="C1421" s="57"/>
      <c r="D1421" s="57"/>
      <c r="E1421" s="57"/>
      <c r="F1421" s="985"/>
      <c r="G1421" s="57"/>
      <c r="H1421" s="57"/>
      <c r="I1421" s="990"/>
      <c r="J1421" s="57"/>
      <c r="K1421" s="57"/>
      <c r="L1421" s="57"/>
      <c r="M1421" s="57"/>
      <c r="N1421" s="57"/>
      <c r="O1421" s="57"/>
      <c r="P1421" s="57"/>
      <c r="Q1421" s="57"/>
      <c r="R1421" s="57"/>
      <c r="S1421" s="57"/>
      <c r="T1421" s="57"/>
      <c r="U1421" s="57"/>
      <c r="V1421" s="57"/>
      <c r="W1421" s="57"/>
      <c r="X1421" s="57"/>
      <c r="Y1421" s="57"/>
      <c r="Z1421" s="57"/>
      <c r="AA1421" s="57"/>
      <c r="AB1421" s="57"/>
      <c r="AC1421" s="57"/>
      <c r="AD1421" s="57"/>
      <c r="AE1421" s="57"/>
      <c r="AF1421" s="57"/>
    </row>
    <row r="1422" spans="1:32" x14ac:dyDescent="0.2">
      <c r="A1422" s="57"/>
      <c r="B1422" s="57"/>
      <c r="C1422" s="57"/>
      <c r="D1422" s="57"/>
      <c r="E1422" s="57"/>
      <c r="F1422" s="985"/>
      <c r="G1422" s="57"/>
      <c r="H1422" s="57"/>
      <c r="I1422" s="990"/>
      <c r="J1422" s="57"/>
      <c r="K1422" s="57"/>
      <c r="L1422" s="57"/>
      <c r="M1422" s="57"/>
      <c r="N1422" s="57"/>
      <c r="O1422" s="57"/>
      <c r="P1422" s="57"/>
      <c r="Q1422" s="57"/>
      <c r="R1422" s="57"/>
      <c r="S1422" s="57"/>
      <c r="T1422" s="57"/>
      <c r="U1422" s="57"/>
      <c r="V1422" s="57"/>
      <c r="W1422" s="57"/>
      <c r="X1422" s="57"/>
      <c r="Y1422" s="57"/>
      <c r="Z1422" s="57"/>
      <c r="AA1422" s="57"/>
      <c r="AB1422" s="57"/>
      <c r="AC1422" s="57"/>
      <c r="AD1422" s="57"/>
      <c r="AE1422" s="57"/>
      <c r="AF1422" s="57"/>
    </row>
    <row r="1423" spans="1:32" x14ac:dyDescent="0.2">
      <c r="A1423" s="57"/>
      <c r="B1423" s="57"/>
      <c r="C1423" s="57"/>
      <c r="D1423" s="57"/>
      <c r="E1423" s="57"/>
      <c r="F1423" s="985"/>
      <c r="G1423" s="57"/>
      <c r="H1423" s="57"/>
      <c r="I1423" s="990"/>
      <c r="J1423" s="57"/>
      <c r="K1423" s="57"/>
      <c r="L1423" s="57"/>
      <c r="M1423" s="57"/>
      <c r="N1423" s="57"/>
      <c r="O1423" s="57"/>
      <c r="P1423" s="57"/>
      <c r="Q1423" s="57"/>
      <c r="R1423" s="57"/>
      <c r="S1423" s="57"/>
      <c r="T1423" s="57"/>
      <c r="U1423" s="57"/>
      <c r="V1423" s="57"/>
      <c r="W1423" s="57"/>
      <c r="X1423" s="57"/>
      <c r="Y1423" s="57"/>
      <c r="Z1423" s="57"/>
      <c r="AA1423" s="57"/>
      <c r="AB1423" s="57"/>
      <c r="AC1423" s="57"/>
      <c r="AD1423" s="57"/>
      <c r="AE1423" s="57"/>
      <c r="AF1423" s="57"/>
    </row>
    <row r="1424" spans="1:32" x14ac:dyDescent="0.2">
      <c r="A1424" s="57"/>
      <c r="B1424" s="57"/>
      <c r="C1424" s="57"/>
      <c r="D1424" s="57"/>
      <c r="E1424" s="57"/>
      <c r="F1424" s="985"/>
      <c r="G1424" s="57"/>
      <c r="H1424" s="57"/>
      <c r="I1424" s="990"/>
      <c r="J1424" s="57"/>
      <c r="K1424" s="57"/>
      <c r="L1424" s="57"/>
      <c r="M1424" s="57"/>
      <c r="N1424" s="57"/>
      <c r="O1424" s="57"/>
      <c r="P1424" s="57"/>
      <c r="Q1424" s="57"/>
      <c r="R1424" s="57"/>
      <c r="S1424" s="57"/>
      <c r="T1424" s="57"/>
      <c r="U1424" s="57"/>
      <c r="V1424" s="57"/>
      <c r="W1424" s="57"/>
      <c r="X1424" s="57"/>
      <c r="Y1424" s="57"/>
      <c r="Z1424" s="57"/>
      <c r="AA1424" s="57"/>
      <c r="AB1424" s="57"/>
      <c r="AC1424" s="57"/>
      <c r="AD1424" s="57"/>
      <c r="AE1424" s="57"/>
      <c r="AF1424" s="57"/>
    </row>
    <row r="1425" spans="1:32" x14ac:dyDescent="0.2">
      <c r="A1425" s="57"/>
      <c r="B1425" s="57"/>
      <c r="C1425" s="57"/>
      <c r="D1425" s="57"/>
      <c r="E1425" s="57"/>
      <c r="F1425" s="985"/>
      <c r="G1425" s="57"/>
      <c r="H1425" s="57"/>
      <c r="I1425" s="990"/>
      <c r="J1425" s="57"/>
      <c r="K1425" s="57"/>
      <c r="L1425" s="57"/>
      <c r="M1425" s="57"/>
      <c r="N1425" s="57"/>
      <c r="O1425" s="57"/>
      <c r="P1425" s="57"/>
      <c r="Q1425" s="57"/>
      <c r="R1425" s="57"/>
      <c r="S1425" s="57"/>
      <c r="T1425" s="57"/>
      <c r="U1425" s="57"/>
      <c r="V1425" s="57"/>
      <c r="W1425" s="57"/>
      <c r="X1425" s="57"/>
      <c r="Y1425" s="57"/>
      <c r="Z1425" s="57"/>
      <c r="AA1425" s="57"/>
      <c r="AB1425" s="57"/>
      <c r="AC1425" s="57"/>
      <c r="AD1425" s="57"/>
      <c r="AE1425" s="57"/>
      <c r="AF1425" s="57"/>
    </row>
    <row r="1426" spans="1:32" x14ac:dyDescent="0.2">
      <c r="A1426" s="57"/>
      <c r="B1426" s="57"/>
      <c r="C1426" s="57"/>
      <c r="D1426" s="57"/>
      <c r="E1426" s="57"/>
      <c r="F1426" s="985"/>
      <c r="G1426" s="57"/>
      <c r="H1426" s="57"/>
      <c r="I1426" s="990"/>
      <c r="J1426" s="57"/>
      <c r="K1426" s="57"/>
      <c r="L1426" s="57"/>
      <c r="M1426" s="57"/>
      <c r="N1426" s="57"/>
      <c r="O1426" s="57"/>
      <c r="P1426" s="57"/>
      <c r="Q1426" s="57"/>
      <c r="R1426" s="57"/>
      <c r="S1426" s="57"/>
      <c r="T1426" s="57"/>
      <c r="U1426" s="57"/>
      <c r="V1426" s="57"/>
      <c r="W1426" s="57"/>
      <c r="X1426" s="57"/>
      <c r="Y1426" s="57"/>
      <c r="Z1426" s="57"/>
      <c r="AA1426" s="57"/>
      <c r="AB1426" s="57"/>
      <c r="AC1426" s="57"/>
      <c r="AD1426" s="57"/>
      <c r="AE1426" s="57"/>
      <c r="AF1426" s="57"/>
    </row>
    <row r="1427" spans="1:32" x14ac:dyDescent="0.2">
      <c r="A1427" s="57"/>
      <c r="B1427" s="57"/>
      <c r="C1427" s="57"/>
      <c r="D1427" s="57"/>
      <c r="E1427" s="57"/>
      <c r="F1427" s="985"/>
      <c r="G1427" s="57"/>
      <c r="H1427" s="57"/>
      <c r="I1427" s="990"/>
      <c r="J1427" s="57"/>
      <c r="K1427" s="57"/>
      <c r="L1427" s="57"/>
      <c r="M1427" s="57"/>
      <c r="N1427" s="57"/>
      <c r="O1427" s="57"/>
      <c r="P1427" s="57"/>
      <c r="Q1427" s="57"/>
      <c r="R1427" s="57"/>
      <c r="S1427" s="57"/>
      <c r="T1427" s="57"/>
      <c r="U1427" s="57"/>
      <c r="V1427" s="57"/>
      <c r="W1427" s="57"/>
      <c r="X1427" s="57"/>
      <c r="Y1427" s="57"/>
      <c r="Z1427" s="57"/>
      <c r="AA1427" s="57"/>
      <c r="AB1427" s="57"/>
      <c r="AC1427" s="57"/>
      <c r="AD1427" s="57"/>
      <c r="AE1427" s="57"/>
      <c r="AF1427" s="57"/>
    </row>
    <row r="1428" spans="1:32" x14ac:dyDescent="0.2">
      <c r="A1428" s="57"/>
      <c r="B1428" s="57"/>
      <c r="C1428" s="57"/>
      <c r="D1428" s="57"/>
      <c r="E1428" s="57"/>
      <c r="F1428" s="985"/>
      <c r="G1428" s="57"/>
      <c r="H1428" s="57"/>
      <c r="I1428" s="990"/>
      <c r="J1428" s="57"/>
      <c r="K1428" s="57"/>
      <c r="L1428" s="57"/>
      <c r="M1428" s="57"/>
      <c r="N1428" s="57"/>
      <c r="O1428" s="57"/>
      <c r="P1428" s="57"/>
      <c r="Q1428" s="57"/>
      <c r="R1428" s="57"/>
      <c r="S1428" s="57"/>
      <c r="T1428" s="57"/>
      <c r="U1428" s="57"/>
      <c r="V1428" s="57"/>
      <c r="W1428" s="57"/>
      <c r="X1428" s="57"/>
      <c r="Y1428" s="57"/>
      <c r="Z1428" s="57"/>
      <c r="AA1428" s="57"/>
      <c r="AB1428" s="57"/>
      <c r="AC1428" s="57"/>
      <c r="AD1428" s="57"/>
      <c r="AE1428" s="57"/>
      <c r="AF1428" s="57"/>
    </row>
    <row r="1429" spans="1:32" x14ac:dyDescent="0.2">
      <c r="A1429" s="57"/>
      <c r="B1429" s="57"/>
      <c r="C1429" s="57"/>
      <c r="D1429" s="57"/>
      <c r="E1429" s="57"/>
      <c r="F1429" s="985"/>
      <c r="G1429" s="57"/>
      <c r="H1429" s="57"/>
      <c r="I1429" s="990"/>
      <c r="J1429" s="57"/>
      <c r="K1429" s="57"/>
      <c r="L1429" s="57"/>
      <c r="M1429" s="57"/>
      <c r="N1429" s="57"/>
      <c r="O1429" s="57"/>
      <c r="P1429" s="57"/>
      <c r="Q1429" s="57"/>
      <c r="R1429" s="57"/>
      <c r="S1429" s="57"/>
      <c r="T1429" s="57"/>
      <c r="U1429" s="57"/>
      <c r="V1429" s="57"/>
      <c r="W1429" s="57"/>
      <c r="X1429" s="57"/>
      <c r="Y1429" s="57"/>
      <c r="Z1429" s="57"/>
      <c r="AA1429" s="57"/>
      <c r="AB1429" s="57"/>
      <c r="AC1429" s="57"/>
      <c r="AD1429" s="57"/>
      <c r="AE1429" s="57"/>
      <c r="AF1429" s="57"/>
    </row>
    <row r="1430" spans="1:32" x14ac:dyDescent="0.2">
      <c r="A1430" s="57"/>
      <c r="B1430" s="57"/>
      <c r="C1430" s="57"/>
      <c r="D1430" s="57"/>
      <c r="E1430" s="57"/>
      <c r="F1430" s="985"/>
      <c r="G1430" s="57"/>
      <c r="H1430" s="57"/>
      <c r="I1430" s="990"/>
      <c r="J1430" s="57"/>
      <c r="K1430" s="57"/>
      <c r="L1430" s="57"/>
      <c r="M1430" s="57"/>
      <c r="N1430" s="57"/>
      <c r="O1430" s="57"/>
      <c r="P1430" s="57"/>
      <c r="Q1430" s="57"/>
      <c r="R1430" s="57"/>
      <c r="S1430" s="57"/>
      <c r="T1430" s="57"/>
      <c r="U1430" s="57"/>
      <c r="V1430" s="57"/>
      <c r="W1430" s="57"/>
      <c r="X1430" s="57"/>
      <c r="Y1430" s="57"/>
      <c r="Z1430" s="57"/>
      <c r="AA1430" s="57"/>
      <c r="AB1430" s="57"/>
      <c r="AC1430" s="57"/>
      <c r="AD1430" s="57"/>
      <c r="AE1430" s="57"/>
      <c r="AF1430" s="57"/>
    </row>
    <row r="1431" spans="1:32" x14ac:dyDescent="0.2">
      <c r="A1431" s="57"/>
      <c r="B1431" s="57"/>
      <c r="C1431" s="57"/>
      <c r="D1431" s="57"/>
      <c r="E1431" s="57"/>
      <c r="F1431" s="985"/>
      <c r="G1431" s="57"/>
      <c r="H1431" s="57"/>
      <c r="I1431" s="990"/>
      <c r="J1431" s="57"/>
      <c r="K1431" s="57"/>
      <c r="L1431" s="57"/>
      <c r="M1431" s="57"/>
      <c r="N1431" s="57"/>
      <c r="O1431" s="57"/>
      <c r="P1431" s="57"/>
      <c r="Q1431" s="57"/>
      <c r="R1431" s="57"/>
      <c r="S1431" s="57"/>
      <c r="T1431" s="57"/>
      <c r="U1431" s="57"/>
      <c r="V1431" s="57"/>
      <c r="W1431" s="57"/>
      <c r="X1431" s="57"/>
      <c r="Y1431" s="57"/>
      <c r="Z1431" s="57"/>
      <c r="AA1431" s="57"/>
      <c r="AB1431" s="57"/>
      <c r="AC1431" s="57"/>
      <c r="AD1431" s="57"/>
      <c r="AE1431" s="57"/>
      <c r="AF1431" s="57"/>
    </row>
    <row r="1432" spans="1:32" x14ac:dyDescent="0.2">
      <c r="A1432" s="57"/>
      <c r="B1432" s="57"/>
      <c r="C1432" s="57"/>
      <c r="D1432" s="57"/>
      <c r="E1432" s="57"/>
      <c r="F1432" s="985"/>
      <c r="G1432" s="57"/>
      <c r="H1432" s="57"/>
      <c r="I1432" s="990"/>
      <c r="J1432" s="57"/>
      <c r="K1432" s="57"/>
      <c r="L1432" s="57"/>
      <c r="M1432" s="57"/>
      <c r="N1432" s="57"/>
      <c r="O1432" s="57"/>
      <c r="P1432" s="57"/>
      <c r="Q1432" s="57"/>
      <c r="R1432" s="57"/>
      <c r="S1432" s="57"/>
      <c r="T1432" s="57"/>
      <c r="U1432" s="57"/>
      <c r="V1432" s="57"/>
      <c r="W1432" s="57"/>
      <c r="X1432" s="57"/>
      <c r="Y1432" s="57"/>
      <c r="Z1432" s="57"/>
      <c r="AA1432" s="57"/>
      <c r="AB1432" s="57"/>
      <c r="AC1432" s="57"/>
      <c r="AD1432" s="57"/>
      <c r="AE1432" s="57"/>
      <c r="AF1432" s="57"/>
    </row>
    <row r="1433" spans="1:32" x14ac:dyDescent="0.2">
      <c r="A1433" s="57"/>
      <c r="B1433" s="57"/>
      <c r="C1433" s="57"/>
      <c r="D1433" s="57"/>
      <c r="E1433" s="57"/>
      <c r="F1433" s="985"/>
      <c r="G1433" s="57"/>
      <c r="H1433" s="57"/>
      <c r="I1433" s="990"/>
      <c r="J1433" s="57"/>
      <c r="K1433" s="57"/>
      <c r="L1433" s="57"/>
      <c r="M1433" s="57"/>
      <c r="N1433" s="57"/>
      <c r="O1433" s="57"/>
      <c r="P1433" s="57"/>
      <c r="Q1433" s="57"/>
      <c r="R1433" s="57"/>
      <c r="S1433" s="57"/>
      <c r="T1433" s="57"/>
      <c r="U1433" s="57"/>
      <c r="V1433" s="57"/>
      <c r="W1433" s="57"/>
      <c r="X1433" s="57"/>
      <c r="Y1433" s="57"/>
      <c r="Z1433" s="57"/>
      <c r="AA1433" s="57"/>
      <c r="AB1433" s="57"/>
      <c r="AC1433" s="57"/>
      <c r="AD1433" s="57"/>
      <c r="AE1433" s="57"/>
      <c r="AF1433" s="57"/>
    </row>
    <row r="1434" spans="1:32" x14ac:dyDescent="0.2">
      <c r="A1434" s="57"/>
      <c r="B1434" s="57"/>
      <c r="C1434" s="57"/>
      <c r="D1434" s="57"/>
      <c r="E1434" s="57"/>
      <c r="F1434" s="985"/>
      <c r="G1434" s="57"/>
      <c r="H1434" s="57"/>
      <c r="I1434" s="990"/>
      <c r="J1434" s="57"/>
      <c r="K1434" s="57"/>
      <c r="L1434" s="57"/>
      <c r="M1434" s="57"/>
      <c r="N1434" s="57"/>
      <c r="O1434" s="57"/>
      <c r="P1434" s="57"/>
      <c r="Q1434" s="57"/>
      <c r="R1434" s="57"/>
      <c r="S1434" s="57"/>
      <c r="T1434" s="57"/>
      <c r="U1434" s="57"/>
      <c r="V1434" s="57"/>
      <c r="W1434" s="57"/>
      <c r="X1434" s="57"/>
      <c r="Y1434" s="57"/>
      <c r="Z1434" s="57"/>
      <c r="AA1434" s="57"/>
      <c r="AB1434" s="57"/>
      <c r="AC1434" s="57"/>
      <c r="AD1434" s="57"/>
      <c r="AE1434" s="57"/>
      <c r="AF1434" s="57"/>
    </row>
    <row r="1435" spans="1:32" x14ac:dyDescent="0.2">
      <c r="A1435" s="57"/>
      <c r="B1435" s="57"/>
      <c r="C1435" s="57"/>
      <c r="D1435" s="57"/>
      <c r="E1435" s="57"/>
      <c r="F1435" s="985"/>
      <c r="G1435" s="57"/>
      <c r="H1435" s="57"/>
      <c r="I1435" s="990"/>
      <c r="J1435" s="57"/>
      <c r="K1435" s="57"/>
      <c r="L1435" s="57"/>
      <c r="M1435" s="57"/>
      <c r="N1435" s="57"/>
      <c r="O1435" s="57"/>
      <c r="P1435" s="57"/>
      <c r="Q1435" s="57"/>
      <c r="R1435" s="57"/>
      <c r="S1435" s="57"/>
      <c r="T1435" s="57"/>
      <c r="U1435" s="57"/>
      <c r="V1435" s="57"/>
      <c r="W1435" s="57"/>
      <c r="X1435" s="57"/>
      <c r="Y1435" s="57"/>
      <c r="Z1435" s="57"/>
      <c r="AA1435" s="57"/>
      <c r="AB1435" s="57"/>
      <c r="AC1435" s="57"/>
      <c r="AD1435" s="57"/>
      <c r="AE1435" s="57"/>
      <c r="AF1435" s="57"/>
    </row>
    <row r="1436" spans="1:32" x14ac:dyDescent="0.2">
      <c r="A1436" s="57"/>
      <c r="B1436" s="57"/>
      <c r="C1436" s="57"/>
      <c r="D1436" s="57"/>
      <c r="E1436" s="57"/>
      <c r="F1436" s="985"/>
      <c r="G1436" s="57"/>
      <c r="H1436" s="57"/>
      <c r="I1436" s="990"/>
      <c r="J1436" s="57"/>
      <c r="K1436" s="57"/>
      <c r="L1436" s="57"/>
      <c r="M1436" s="57"/>
      <c r="N1436" s="57"/>
      <c r="O1436" s="57"/>
      <c r="P1436" s="57"/>
      <c r="Q1436" s="57"/>
      <c r="R1436" s="57"/>
      <c r="S1436" s="57"/>
      <c r="T1436" s="57"/>
      <c r="U1436" s="57"/>
      <c r="V1436" s="57"/>
      <c r="W1436" s="57"/>
      <c r="X1436" s="57"/>
      <c r="Y1436" s="57"/>
      <c r="Z1436" s="57"/>
      <c r="AA1436" s="57"/>
      <c r="AB1436" s="57"/>
      <c r="AC1436" s="57"/>
      <c r="AD1436" s="57"/>
      <c r="AE1436" s="57"/>
      <c r="AF1436" s="57"/>
    </row>
    <row r="1437" spans="1:32" x14ac:dyDescent="0.2">
      <c r="A1437" s="57"/>
      <c r="B1437" s="57"/>
      <c r="C1437" s="57"/>
      <c r="D1437" s="57"/>
      <c r="E1437" s="57"/>
      <c r="F1437" s="985"/>
      <c r="G1437" s="57"/>
      <c r="H1437" s="57"/>
      <c r="I1437" s="990"/>
      <c r="J1437" s="57"/>
      <c r="K1437" s="57"/>
      <c r="L1437" s="57"/>
      <c r="M1437" s="57"/>
      <c r="N1437" s="57"/>
      <c r="O1437" s="57"/>
      <c r="P1437" s="57"/>
      <c r="Q1437" s="57"/>
      <c r="R1437" s="57"/>
      <c r="S1437" s="57"/>
      <c r="T1437" s="57"/>
      <c r="U1437" s="57"/>
      <c r="V1437" s="57"/>
      <c r="W1437" s="57"/>
      <c r="X1437" s="57"/>
      <c r="Y1437" s="57"/>
      <c r="Z1437" s="57"/>
      <c r="AA1437" s="57"/>
      <c r="AB1437" s="57"/>
      <c r="AC1437" s="57"/>
      <c r="AD1437" s="57"/>
      <c r="AE1437" s="57"/>
      <c r="AF1437" s="57"/>
    </row>
    <row r="1438" spans="1:32" x14ac:dyDescent="0.2">
      <c r="A1438" s="57"/>
      <c r="B1438" s="57"/>
      <c r="C1438" s="57"/>
      <c r="D1438" s="57"/>
      <c r="E1438" s="57"/>
      <c r="F1438" s="985"/>
      <c r="G1438" s="57"/>
      <c r="H1438" s="57"/>
      <c r="I1438" s="990"/>
      <c r="J1438" s="57"/>
      <c r="K1438" s="57"/>
      <c r="L1438" s="57"/>
      <c r="M1438" s="57"/>
      <c r="N1438" s="57"/>
      <c r="O1438" s="57"/>
      <c r="P1438" s="57"/>
      <c r="Q1438" s="57"/>
      <c r="R1438" s="57"/>
      <c r="S1438" s="57"/>
      <c r="T1438" s="57"/>
      <c r="U1438" s="57"/>
      <c r="V1438" s="57"/>
      <c r="W1438" s="57"/>
      <c r="X1438" s="57"/>
      <c r="Y1438" s="57"/>
      <c r="Z1438" s="57"/>
      <c r="AA1438" s="57"/>
      <c r="AB1438" s="57"/>
      <c r="AC1438" s="57"/>
      <c r="AD1438" s="57"/>
      <c r="AE1438" s="57"/>
      <c r="AF1438" s="57"/>
    </row>
    <row r="1439" spans="1:32" x14ac:dyDescent="0.2">
      <c r="A1439" s="57"/>
      <c r="B1439" s="57"/>
      <c r="C1439" s="57"/>
      <c r="D1439" s="57"/>
      <c r="E1439" s="57"/>
      <c r="F1439" s="985"/>
      <c r="G1439" s="57"/>
      <c r="H1439" s="57"/>
      <c r="I1439" s="990"/>
      <c r="J1439" s="57"/>
      <c r="K1439" s="57"/>
      <c r="L1439" s="57"/>
      <c r="M1439" s="57"/>
      <c r="N1439" s="57"/>
      <c r="O1439" s="57"/>
      <c r="P1439" s="57"/>
      <c r="Q1439" s="57"/>
      <c r="R1439" s="57"/>
      <c r="S1439" s="57"/>
      <c r="T1439" s="57"/>
      <c r="U1439" s="57"/>
      <c r="V1439" s="57"/>
      <c r="W1439" s="57"/>
      <c r="X1439" s="57"/>
      <c r="Y1439" s="57"/>
      <c r="Z1439" s="57"/>
      <c r="AA1439" s="57"/>
      <c r="AB1439" s="57"/>
      <c r="AC1439" s="57"/>
      <c r="AD1439" s="57"/>
      <c r="AE1439" s="57"/>
      <c r="AF1439" s="57"/>
    </row>
    <row r="1440" spans="1:32" x14ac:dyDescent="0.2">
      <c r="A1440" s="57"/>
      <c r="B1440" s="57"/>
      <c r="C1440" s="57"/>
      <c r="D1440" s="57"/>
      <c r="E1440" s="57"/>
      <c r="F1440" s="985"/>
      <c r="G1440" s="57"/>
      <c r="H1440" s="57"/>
      <c r="I1440" s="990"/>
      <c r="J1440" s="57"/>
      <c r="K1440" s="57"/>
      <c r="L1440" s="57"/>
      <c r="M1440" s="57"/>
      <c r="N1440" s="57"/>
      <c r="O1440" s="57"/>
      <c r="P1440" s="57"/>
      <c r="Q1440" s="57"/>
      <c r="R1440" s="57"/>
      <c r="S1440" s="57"/>
      <c r="T1440" s="57"/>
      <c r="U1440" s="57"/>
      <c r="V1440" s="57"/>
      <c r="W1440" s="57"/>
      <c r="X1440" s="57"/>
      <c r="Y1440" s="57"/>
      <c r="Z1440" s="57"/>
      <c r="AA1440" s="57"/>
      <c r="AB1440" s="57"/>
      <c r="AC1440" s="57"/>
      <c r="AD1440" s="57"/>
      <c r="AE1440" s="57"/>
      <c r="AF1440" s="57"/>
    </row>
    <row r="1441" spans="1:32" x14ac:dyDescent="0.2">
      <c r="A1441" s="57"/>
      <c r="B1441" s="57"/>
      <c r="C1441" s="57"/>
      <c r="D1441" s="57"/>
      <c r="E1441" s="57"/>
      <c r="F1441" s="985"/>
      <c r="G1441" s="57"/>
      <c r="H1441" s="57"/>
      <c r="I1441" s="990"/>
      <c r="J1441" s="57"/>
      <c r="K1441" s="57"/>
      <c r="L1441" s="57"/>
      <c r="M1441" s="57"/>
      <c r="N1441" s="57"/>
      <c r="O1441" s="57"/>
      <c r="P1441" s="57"/>
      <c r="Q1441" s="57"/>
      <c r="R1441" s="57"/>
      <c r="S1441" s="57"/>
      <c r="T1441" s="57"/>
      <c r="U1441" s="57"/>
      <c r="V1441" s="57"/>
      <c r="W1441" s="57"/>
      <c r="X1441" s="57"/>
      <c r="Y1441" s="57"/>
      <c r="Z1441" s="57"/>
      <c r="AA1441" s="57"/>
      <c r="AB1441" s="57"/>
      <c r="AC1441" s="57"/>
      <c r="AD1441" s="57"/>
      <c r="AE1441" s="57"/>
      <c r="AF1441" s="57"/>
    </row>
    <row r="1442" spans="1:32" x14ac:dyDescent="0.2">
      <c r="A1442" s="57"/>
      <c r="B1442" s="57"/>
      <c r="C1442" s="57"/>
      <c r="D1442" s="57"/>
      <c r="E1442" s="57"/>
      <c r="F1442" s="985"/>
      <c r="G1442" s="57"/>
      <c r="H1442" s="57"/>
      <c r="I1442" s="990"/>
      <c r="J1442" s="57"/>
      <c r="K1442" s="57"/>
      <c r="L1442" s="57"/>
      <c r="M1442" s="57"/>
      <c r="N1442" s="57"/>
      <c r="O1442" s="57"/>
      <c r="P1442" s="57"/>
      <c r="Q1442" s="57"/>
      <c r="R1442" s="57"/>
      <c r="S1442" s="57"/>
      <c r="T1442" s="57"/>
      <c r="U1442" s="57"/>
      <c r="V1442" s="57"/>
      <c r="W1442" s="57"/>
      <c r="X1442" s="57"/>
      <c r="Y1442" s="57"/>
      <c r="Z1442" s="57"/>
      <c r="AA1442" s="57"/>
      <c r="AB1442" s="57"/>
      <c r="AC1442" s="57"/>
      <c r="AD1442" s="57"/>
      <c r="AE1442" s="57"/>
      <c r="AF1442" s="57"/>
    </row>
    <row r="1443" spans="1:32" x14ac:dyDescent="0.2">
      <c r="A1443" s="57"/>
      <c r="B1443" s="57"/>
      <c r="C1443" s="57"/>
      <c r="D1443" s="57"/>
      <c r="E1443" s="57"/>
      <c r="F1443" s="985"/>
      <c r="G1443" s="57"/>
      <c r="H1443" s="57"/>
      <c r="I1443" s="990"/>
      <c r="J1443" s="57"/>
      <c r="K1443" s="57"/>
      <c r="L1443" s="57"/>
      <c r="M1443" s="57"/>
      <c r="N1443" s="57"/>
      <c r="O1443" s="57"/>
      <c r="P1443" s="57"/>
      <c r="Q1443" s="57"/>
      <c r="R1443" s="57"/>
      <c r="S1443" s="57"/>
      <c r="T1443" s="57"/>
      <c r="U1443" s="57"/>
      <c r="V1443" s="57"/>
      <c r="W1443" s="57"/>
      <c r="X1443" s="57"/>
      <c r="Y1443" s="57"/>
      <c r="Z1443" s="57"/>
      <c r="AA1443" s="57"/>
      <c r="AB1443" s="57"/>
      <c r="AC1443" s="57"/>
      <c r="AD1443" s="57"/>
      <c r="AE1443" s="57"/>
      <c r="AF1443" s="57"/>
    </row>
    <row r="1444" spans="1:32" x14ac:dyDescent="0.2">
      <c r="A1444" s="57"/>
      <c r="B1444" s="57"/>
      <c r="C1444" s="57"/>
      <c r="D1444" s="57"/>
      <c r="E1444" s="57"/>
      <c r="F1444" s="985"/>
      <c r="G1444" s="57"/>
      <c r="H1444" s="57"/>
      <c r="I1444" s="990"/>
      <c r="J1444" s="57"/>
      <c r="K1444" s="57"/>
      <c r="L1444" s="57"/>
      <c r="M1444" s="57"/>
      <c r="N1444" s="57"/>
      <c r="O1444" s="57"/>
      <c r="P1444" s="57"/>
      <c r="Q1444" s="57"/>
      <c r="R1444" s="57"/>
      <c r="S1444" s="57"/>
      <c r="T1444" s="57"/>
      <c r="U1444" s="57"/>
      <c r="V1444" s="57"/>
      <c r="W1444" s="57"/>
      <c r="X1444" s="57"/>
      <c r="Y1444" s="57"/>
      <c r="Z1444" s="57"/>
      <c r="AA1444" s="57"/>
      <c r="AB1444" s="57"/>
      <c r="AC1444" s="57"/>
      <c r="AD1444" s="57"/>
      <c r="AE1444" s="57"/>
      <c r="AF1444" s="57"/>
    </row>
    <row r="1445" spans="1:32" x14ac:dyDescent="0.2">
      <c r="A1445" s="57"/>
      <c r="B1445" s="57"/>
      <c r="C1445" s="57"/>
      <c r="D1445" s="57"/>
      <c r="E1445" s="57"/>
      <c r="F1445" s="985"/>
      <c r="G1445" s="57"/>
      <c r="H1445" s="57"/>
      <c r="I1445" s="990"/>
      <c r="J1445" s="57"/>
      <c r="K1445" s="57"/>
      <c r="L1445" s="57"/>
      <c r="M1445" s="57"/>
      <c r="N1445" s="57"/>
      <c r="O1445" s="57"/>
      <c r="P1445" s="57"/>
      <c r="Q1445" s="57"/>
      <c r="R1445" s="57"/>
      <c r="S1445" s="57"/>
      <c r="T1445" s="57"/>
      <c r="U1445" s="57"/>
      <c r="V1445" s="57"/>
      <c r="W1445" s="57"/>
      <c r="X1445" s="57"/>
      <c r="Y1445" s="57"/>
      <c r="Z1445" s="57"/>
      <c r="AA1445" s="57"/>
      <c r="AB1445" s="57"/>
      <c r="AC1445" s="57"/>
      <c r="AD1445" s="57"/>
      <c r="AE1445" s="57"/>
      <c r="AF1445" s="57"/>
    </row>
    <row r="1446" spans="1:32" x14ac:dyDescent="0.2">
      <c r="A1446" s="57"/>
      <c r="B1446" s="57"/>
      <c r="C1446" s="57"/>
      <c r="D1446" s="57"/>
      <c r="E1446" s="57"/>
      <c r="F1446" s="985"/>
      <c r="G1446" s="57"/>
      <c r="H1446" s="57"/>
      <c r="I1446" s="990"/>
      <c r="J1446" s="57"/>
      <c r="K1446" s="57"/>
      <c r="L1446" s="57"/>
      <c r="M1446" s="57"/>
      <c r="N1446" s="57"/>
      <c r="O1446" s="57"/>
      <c r="P1446" s="57"/>
      <c r="Q1446" s="57"/>
      <c r="R1446" s="57"/>
      <c r="S1446" s="57"/>
      <c r="T1446" s="57"/>
      <c r="U1446" s="57"/>
      <c r="V1446" s="57"/>
      <c r="W1446" s="57"/>
      <c r="X1446" s="57"/>
      <c r="Y1446" s="57"/>
      <c r="Z1446" s="57"/>
      <c r="AA1446" s="57"/>
      <c r="AB1446" s="57"/>
      <c r="AC1446" s="57"/>
      <c r="AD1446" s="57"/>
      <c r="AE1446" s="57"/>
      <c r="AF1446" s="57"/>
    </row>
    <row r="1447" spans="1:32" x14ac:dyDescent="0.2">
      <c r="A1447" s="57"/>
      <c r="B1447" s="57"/>
      <c r="C1447" s="57"/>
      <c r="D1447" s="57"/>
      <c r="E1447" s="57"/>
      <c r="F1447" s="985"/>
      <c r="G1447" s="57"/>
      <c r="H1447" s="57"/>
      <c r="I1447" s="990"/>
      <c r="J1447" s="57"/>
      <c r="K1447" s="57"/>
      <c r="L1447" s="57"/>
      <c r="M1447" s="57"/>
      <c r="N1447" s="57"/>
      <c r="O1447" s="57"/>
      <c r="P1447" s="57"/>
      <c r="Q1447" s="57"/>
      <c r="R1447" s="57"/>
      <c r="S1447" s="57"/>
      <c r="T1447" s="57"/>
      <c r="U1447" s="57"/>
      <c r="V1447" s="57"/>
      <c r="W1447" s="57"/>
      <c r="X1447" s="57"/>
      <c r="Y1447" s="57"/>
      <c r="Z1447" s="57"/>
      <c r="AA1447" s="57"/>
      <c r="AB1447" s="57"/>
      <c r="AC1447" s="57"/>
      <c r="AD1447" s="57"/>
      <c r="AE1447" s="57"/>
      <c r="AF1447" s="57"/>
    </row>
    <row r="1448" spans="1:32" x14ac:dyDescent="0.2">
      <c r="A1448" s="57"/>
      <c r="B1448" s="57"/>
      <c r="C1448" s="57"/>
      <c r="D1448" s="57"/>
      <c r="E1448" s="57"/>
      <c r="F1448" s="985"/>
      <c r="G1448" s="57"/>
      <c r="H1448" s="57"/>
      <c r="I1448" s="990"/>
      <c r="J1448" s="57"/>
      <c r="K1448" s="57"/>
      <c r="L1448" s="57"/>
      <c r="M1448" s="57"/>
      <c r="N1448" s="57"/>
      <c r="O1448" s="57"/>
      <c r="P1448" s="57"/>
      <c r="Q1448" s="57"/>
      <c r="R1448" s="57"/>
      <c r="S1448" s="57"/>
      <c r="T1448" s="57"/>
      <c r="U1448" s="57"/>
      <c r="V1448" s="57"/>
      <c r="W1448" s="57"/>
      <c r="X1448" s="57"/>
      <c r="Y1448" s="57"/>
      <c r="Z1448" s="57"/>
      <c r="AA1448" s="57"/>
      <c r="AB1448" s="57"/>
      <c r="AC1448" s="57"/>
      <c r="AD1448" s="57"/>
      <c r="AE1448" s="57"/>
      <c r="AF1448" s="57"/>
    </row>
    <row r="1449" spans="1:32" x14ac:dyDescent="0.2">
      <c r="A1449" s="57"/>
      <c r="B1449" s="57"/>
      <c r="C1449" s="57"/>
      <c r="D1449" s="57"/>
      <c r="E1449" s="57"/>
      <c r="F1449" s="985"/>
      <c r="G1449" s="57"/>
      <c r="H1449" s="57"/>
      <c r="I1449" s="990"/>
      <c r="J1449" s="57"/>
      <c r="K1449" s="57"/>
      <c r="L1449" s="57"/>
      <c r="M1449" s="57"/>
      <c r="N1449" s="57"/>
      <c r="O1449" s="57"/>
      <c r="P1449" s="57"/>
      <c r="Q1449" s="57"/>
      <c r="R1449" s="57"/>
      <c r="S1449" s="57"/>
      <c r="T1449" s="57"/>
      <c r="U1449" s="57"/>
      <c r="V1449" s="57"/>
      <c r="W1449" s="57"/>
      <c r="X1449" s="57"/>
      <c r="Y1449" s="57"/>
      <c r="Z1449" s="57"/>
      <c r="AA1449" s="57"/>
      <c r="AB1449" s="57"/>
      <c r="AC1449" s="57"/>
      <c r="AD1449" s="57"/>
      <c r="AE1449" s="57"/>
      <c r="AF1449" s="57"/>
    </row>
    <row r="1450" spans="1:32" x14ac:dyDescent="0.2">
      <c r="A1450" s="57"/>
      <c r="B1450" s="57"/>
      <c r="C1450" s="57"/>
      <c r="D1450" s="57"/>
      <c r="E1450" s="57"/>
      <c r="F1450" s="985"/>
      <c r="G1450" s="57"/>
      <c r="H1450" s="57"/>
      <c r="I1450" s="990"/>
      <c r="J1450" s="57"/>
      <c r="K1450" s="57"/>
      <c r="L1450" s="57"/>
      <c r="M1450" s="57"/>
      <c r="N1450" s="57"/>
      <c r="O1450" s="57"/>
      <c r="P1450" s="57"/>
      <c r="Q1450" s="57"/>
      <c r="R1450" s="57"/>
      <c r="S1450" s="57"/>
      <c r="T1450" s="57"/>
      <c r="U1450" s="57"/>
      <c r="V1450" s="57"/>
      <c r="W1450" s="57"/>
      <c r="X1450" s="57"/>
      <c r="Y1450" s="57"/>
      <c r="Z1450" s="57"/>
      <c r="AA1450" s="57"/>
      <c r="AB1450" s="57"/>
      <c r="AC1450" s="57"/>
      <c r="AD1450" s="57"/>
      <c r="AE1450" s="57"/>
      <c r="AF1450" s="57"/>
    </row>
    <row r="1451" spans="1:32" x14ac:dyDescent="0.2">
      <c r="A1451" s="57"/>
      <c r="B1451" s="57"/>
      <c r="C1451" s="57"/>
      <c r="D1451" s="57"/>
      <c r="E1451" s="57"/>
      <c r="F1451" s="985"/>
      <c r="G1451" s="57"/>
      <c r="H1451" s="57"/>
      <c r="I1451" s="990"/>
      <c r="J1451" s="57"/>
      <c r="K1451" s="57"/>
      <c r="L1451" s="57"/>
      <c r="M1451" s="57"/>
      <c r="N1451" s="57"/>
      <c r="O1451" s="57"/>
      <c r="P1451" s="57"/>
      <c r="Q1451" s="57"/>
      <c r="R1451" s="57"/>
      <c r="S1451" s="57"/>
      <c r="T1451" s="57"/>
      <c r="U1451" s="57"/>
      <c r="V1451" s="57"/>
      <c r="W1451" s="57"/>
      <c r="X1451" s="57"/>
      <c r="Y1451" s="57"/>
      <c r="Z1451" s="57"/>
      <c r="AA1451" s="57"/>
      <c r="AB1451" s="57"/>
      <c r="AC1451" s="57"/>
      <c r="AD1451" s="57"/>
      <c r="AE1451" s="57"/>
      <c r="AF1451" s="57"/>
    </row>
    <row r="1452" spans="1:32" x14ac:dyDescent="0.2">
      <c r="A1452" s="57"/>
      <c r="B1452" s="57"/>
      <c r="C1452" s="57"/>
      <c r="D1452" s="57"/>
      <c r="E1452" s="57"/>
      <c r="F1452" s="985"/>
      <c r="G1452" s="57"/>
      <c r="H1452" s="57"/>
      <c r="I1452" s="990"/>
      <c r="J1452" s="57"/>
      <c r="K1452" s="57"/>
      <c r="L1452" s="57"/>
      <c r="M1452" s="57"/>
      <c r="N1452" s="57"/>
      <c r="O1452" s="57"/>
      <c r="P1452" s="57"/>
      <c r="Q1452" s="57"/>
      <c r="R1452" s="57"/>
      <c r="S1452" s="57"/>
      <c r="T1452" s="57"/>
      <c r="U1452" s="57"/>
      <c r="V1452" s="57"/>
      <c r="W1452" s="57"/>
      <c r="X1452" s="57"/>
      <c r="Y1452" s="57"/>
      <c r="Z1452" s="57"/>
      <c r="AA1452" s="57"/>
      <c r="AB1452" s="57"/>
      <c r="AC1452" s="57"/>
      <c r="AD1452" s="57"/>
      <c r="AE1452" s="57"/>
      <c r="AF1452" s="57"/>
    </row>
    <row r="1453" spans="1:32" x14ac:dyDescent="0.2">
      <c r="A1453" s="57"/>
      <c r="B1453" s="57"/>
      <c r="C1453" s="57"/>
      <c r="D1453" s="57"/>
      <c r="E1453" s="57"/>
      <c r="F1453" s="985"/>
      <c r="G1453" s="57"/>
      <c r="H1453" s="57"/>
      <c r="I1453" s="990"/>
      <c r="J1453" s="57"/>
      <c r="K1453" s="57"/>
      <c r="L1453" s="57"/>
      <c r="M1453" s="57"/>
      <c r="N1453" s="57"/>
      <c r="O1453" s="57"/>
      <c r="P1453" s="57"/>
      <c r="Q1453" s="57"/>
      <c r="R1453" s="57"/>
      <c r="S1453" s="57"/>
      <c r="T1453" s="57"/>
      <c r="U1453" s="57"/>
      <c r="V1453" s="57"/>
      <c r="W1453" s="57"/>
      <c r="X1453" s="57"/>
      <c r="Y1453" s="57"/>
      <c r="Z1453" s="57"/>
      <c r="AA1453" s="57"/>
      <c r="AB1453" s="57"/>
      <c r="AC1453" s="57"/>
      <c r="AD1453" s="57"/>
      <c r="AE1453" s="57"/>
      <c r="AF1453" s="57"/>
    </row>
    <row r="1454" spans="1:32" x14ac:dyDescent="0.2">
      <c r="A1454" s="57"/>
      <c r="B1454" s="57"/>
      <c r="C1454" s="57"/>
      <c r="D1454" s="57"/>
      <c r="E1454" s="57"/>
      <c r="F1454" s="985"/>
      <c r="G1454" s="57"/>
      <c r="H1454" s="57"/>
      <c r="I1454" s="990"/>
      <c r="J1454" s="57"/>
      <c r="K1454" s="57"/>
      <c r="L1454" s="57"/>
      <c r="M1454" s="57"/>
      <c r="N1454" s="57"/>
      <c r="O1454" s="57"/>
      <c r="P1454" s="57"/>
      <c r="Q1454" s="57"/>
      <c r="R1454" s="57"/>
      <c r="S1454" s="57"/>
      <c r="T1454" s="57"/>
      <c r="U1454" s="57"/>
      <c r="V1454" s="57"/>
      <c r="W1454" s="57"/>
      <c r="X1454" s="57"/>
      <c r="Y1454" s="57"/>
      <c r="Z1454" s="57"/>
      <c r="AA1454" s="57"/>
      <c r="AB1454" s="57"/>
      <c r="AC1454" s="57"/>
      <c r="AD1454" s="57"/>
      <c r="AE1454" s="57"/>
      <c r="AF1454" s="57"/>
    </row>
    <row r="1455" spans="1:32" x14ac:dyDescent="0.2">
      <c r="A1455" s="57"/>
      <c r="B1455" s="57"/>
      <c r="C1455" s="57"/>
      <c r="D1455" s="57"/>
      <c r="E1455" s="57"/>
      <c r="F1455" s="985"/>
      <c r="G1455" s="57"/>
      <c r="H1455" s="57"/>
      <c r="I1455" s="990"/>
      <c r="J1455" s="57"/>
      <c r="K1455" s="57"/>
      <c r="L1455" s="57"/>
      <c r="M1455" s="57"/>
      <c r="N1455" s="57"/>
      <c r="O1455" s="57"/>
      <c r="P1455" s="57"/>
      <c r="Q1455" s="57"/>
      <c r="R1455" s="57"/>
      <c r="S1455" s="57"/>
      <c r="T1455" s="57"/>
      <c r="U1455" s="57"/>
      <c r="V1455" s="57"/>
      <c r="W1455" s="57"/>
      <c r="X1455" s="57"/>
      <c r="Y1455" s="57"/>
      <c r="Z1455" s="57"/>
      <c r="AA1455" s="57"/>
      <c r="AB1455" s="57"/>
      <c r="AC1455" s="57"/>
      <c r="AD1455" s="57"/>
      <c r="AE1455" s="57"/>
      <c r="AF1455" s="57"/>
    </row>
    <row r="1456" spans="1:32" x14ac:dyDescent="0.2">
      <c r="A1456" s="57"/>
      <c r="B1456" s="57"/>
      <c r="C1456" s="57"/>
      <c r="D1456" s="57"/>
      <c r="E1456" s="57"/>
      <c r="F1456" s="985"/>
      <c r="G1456" s="57"/>
      <c r="H1456" s="57"/>
      <c r="I1456" s="990"/>
      <c r="J1456" s="57"/>
      <c r="K1456" s="57"/>
      <c r="L1456" s="57"/>
      <c r="M1456" s="57"/>
      <c r="N1456" s="57"/>
      <c r="O1456" s="57"/>
      <c r="P1456" s="57"/>
      <c r="Q1456" s="57"/>
      <c r="R1456" s="57"/>
      <c r="S1456" s="57"/>
      <c r="T1456" s="57"/>
      <c r="U1456" s="57"/>
      <c r="V1456" s="57"/>
      <c r="W1456" s="57"/>
      <c r="X1456" s="57"/>
      <c r="Y1456" s="57"/>
      <c r="Z1456" s="57"/>
      <c r="AA1456" s="57"/>
      <c r="AB1456" s="57"/>
      <c r="AC1456" s="57"/>
      <c r="AD1456" s="57"/>
      <c r="AE1456" s="57"/>
      <c r="AF1456" s="57"/>
    </row>
    <row r="1457" spans="1:32" x14ac:dyDescent="0.2">
      <c r="A1457" s="57"/>
      <c r="B1457" s="57"/>
      <c r="C1457" s="57"/>
      <c r="D1457" s="57"/>
      <c r="E1457" s="57"/>
      <c r="F1457" s="985"/>
      <c r="G1457" s="57"/>
      <c r="H1457" s="57"/>
      <c r="I1457" s="990"/>
      <c r="J1457" s="57"/>
      <c r="K1457" s="57"/>
      <c r="L1457" s="57"/>
      <c r="M1457" s="57"/>
      <c r="N1457" s="57"/>
      <c r="O1457" s="57"/>
      <c r="P1457" s="57"/>
      <c r="Q1457" s="57"/>
      <c r="R1457" s="57"/>
      <c r="S1457" s="57"/>
      <c r="T1457" s="57"/>
      <c r="U1457" s="57"/>
      <c r="V1457" s="57"/>
      <c r="W1457" s="57"/>
      <c r="X1457" s="57"/>
      <c r="Y1457" s="57"/>
      <c r="Z1457" s="57"/>
      <c r="AA1457" s="57"/>
      <c r="AB1457" s="57"/>
      <c r="AC1457" s="57"/>
      <c r="AD1457" s="57"/>
      <c r="AE1457" s="57"/>
      <c r="AF1457" s="57"/>
    </row>
    <row r="1458" spans="1:32" x14ac:dyDescent="0.2">
      <c r="A1458" s="57"/>
      <c r="B1458" s="57"/>
      <c r="C1458" s="57"/>
      <c r="D1458" s="57"/>
      <c r="E1458" s="57"/>
      <c r="F1458" s="985"/>
      <c r="G1458" s="57"/>
      <c r="H1458" s="57"/>
      <c r="I1458" s="990"/>
      <c r="J1458" s="57"/>
      <c r="K1458" s="57"/>
      <c r="L1458" s="57"/>
      <c r="M1458" s="57"/>
      <c r="N1458" s="57"/>
      <c r="O1458" s="57"/>
      <c r="P1458" s="57"/>
      <c r="Q1458" s="57"/>
      <c r="R1458" s="57"/>
      <c r="S1458" s="57"/>
      <c r="T1458" s="57"/>
      <c r="U1458" s="57"/>
      <c r="V1458" s="57"/>
      <c r="W1458" s="57"/>
      <c r="X1458" s="57"/>
      <c r="Y1458" s="57"/>
      <c r="Z1458" s="57"/>
      <c r="AA1458" s="57"/>
      <c r="AB1458" s="57"/>
      <c r="AC1458" s="57"/>
      <c r="AD1458" s="57"/>
      <c r="AE1458" s="57"/>
      <c r="AF1458" s="57"/>
    </row>
    <row r="1459" spans="1:32" x14ac:dyDescent="0.2">
      <c r="A1459" s="57"/>
      <c r="B1459" s="57"/>
      <c r="C1459" s="57"/>
      <c r="D1459" s="57"/>
      <c r="E1459" s="57"/>
      <c r="F1459" s="985"/>
      <c r="G1459" s="57"/>
      <c r="H1459" s="57"/>
      <c r="I1459" s="990"/>
      <c r="J1459" s="57"/>
      <c r="K1459" s="57"/>
      <c r="L1459" s="57"/>
      <c r="M1459" s="57"/>
      <c r="N1459" s="57"/>
      <c r="O1459" s="57"/>
      <c r="P1459" s="57"/>
      <c r="Q1459" s="57"/>
      <c r="R1459" s="57"/>
      <c r="S1459" s="57"/>
      <c r="T1459" s="57"/>
      <c r="U1459" s="57"/>
      <c r="V1459" s="57"/>
      <c r="W1459" s="57"/>
      <c r="X1459" s="57"/>
      <c r="Y1459" s="57"/>
      <c r="Z1459" s="57"/>
      <c r="AA1459" s="57"/>
      <c r="AB1459" s="57"/>
      <c r="AC1459" s="57"/>
      <c r="AD1459" s="57"/>
      <c r="AE1459" s="57"/>
      <c r="AF1459" s="57"/>
    </row>
    <row r="1460" spans="1:32" x14ac:dyDescent="0.2">
      <c r="A1460" s="57"/>
      <c r="B1460" s="57"/>
      <c r="C1460" s="57"/>
      <c r="D1460" s="57"/>
      <c r="E1460" s="57"/>
      <c r="F1460" s="985"/>
      <c r="G1460" s="57"/>
      <c r="H1460" s="57"/>
      <c r="I1460" s="990"/>
      <c r="J1460" s="57"/>
      <c r="K1460" s="57"/>
      <c r="L1460" s="57"/>
      <c r="M1460" s="57"/>
      <c r="N1460" s="57"/>
      <c r="O1460" s="57"/>
      <c r="P1460" s="57"/>
      <c r="Q1460" s="57"/>
      <c r="R1460" s="57"/>
      <c r="S1460" s="57"/>
      <c r="T1460" s="57"/>
      <c r="U1460" s="57"/>
      <c r="V1460" s="57"/>
      <c r="W1460" s="57"/>
      <c r="X1460" s="57"/>
      <c r="Y1460" s="57"/>
      <c r="Z1460" s="57"/>
      <c r="AA1460" s="57"/>
      <c r="AB1460" s="57"/>
      <c r="AC1460" s="57"/>
      <c r="AD1460" s="57"/>
      <c r="AE1460" s="57"/>
      <c r="AF1460" s="57"/>
    </row>
    <row r="1461" spans="1:32" x14ac:dyDescent="0.2">
      <c r="A1461" s="57"/>
      <c r="B1461" s="57"/>
      <c r="C1461" s="57"/>
      <c r="D1461" s="57"/>
      <c r="E1461" s="57"/>
      <c r="F1461" s="985"/>
      <c r="G1461" s="57"/>
      <c r="H1461" s="57"/>
      <c r="I1461" s="990"/>
      <c r="J1461" s="57"/>
      <c r="K1461" s="57"/>
      <c r="L1461" s="57"/>
      <c r="M1461" s="57"/>
      <c r="N1461" s="57"/>
      <c r="O1461" s="57"/>
      <c r="P1461" s="57"/>
      <c r="Q1461" s="57"/>
      <c r="R1461" s="57"/>
      <c r="S1461" s="57"/>
      <c r="T1461" s="57"/>
      <c r="U1461" s="57"/>
      <c r="V1461" s="57"/>
      <c r="W1461" s="57"/>
      <c r="X1461" s="57"/>
      <c r="Y1461" s="57"/>
      <c r="Z1461" s="57"/>
      <c r="AA1461" s="57"/>
      <c r="AB1461" s="57"/>
      <c r="AC1461" s="57"/>
      <c r="AD1461" s="57"/>
      <c r="AE1461" s="57"/>
      <c r="AF1461" s="57"/>
    </row>
    <row r="1462" spans="1:32" x14ac:dyDescent="0.2">
      <c r="A1462" s="57"/>
      <c r="B1462" s="57"/>
      <c r="C1462" s="57"/>
      <c r="D1462" s="57"/>
      <c r="E1462" s="57"/>
      <c r="F1462" s="985"/>
      <c r="G1462" s="57"/>
      <c r="H1462" s="57"/>
      <c r="I1462" s="990"/>
      <c r="J1462" s="57"/>
      <c r="K1462" s="57"/>
      <c r="L1462" s="57"/>
      <c r="M1462" s="57"/>
      <c r="N1462" s="57"/>
      <c r="O1462" s="57"/>
      <c r="P1462" s="57"/>
      <c r="Q1462" s="57"/>
      <c r="R1462" s="57"/>
      <c r="S1462" s="57"/>
      <c r="T1462" s="57"/>
      <c r="U1462" s="57"/>
      <c r="V1462" s="57"/>
      <c r="W1462" s="57"/>
      <c r="X1462" s="57"/>
      <c r="Y1462" s="57"/>
      <c r="Z1462" s="57"/>
      <c r="AA1462" s="57"/>
      <c r="AB1462" s="57"/>
      <c r="AC1462" s="57"/>
      <c r="AD1462" s="57"/>
      <c r="AE1462" s="57"/>
      <c r="AF1462" s="57"/>
    </row>
    <row r="1463" spans="1:32" x14ac:dyDescent="0.2">
      <c r="A1463" s="57"/>
      <c r="B1463" s="57"/>
      <c r="C1463" s="57"/>
      <c r="D1463" s="57"/>
      <c r="E1463" s="57"/>
      <c r="F1463" s="985"/>
      <c r="G1463" s="57"/>
      <c r="H1463" s="57"/>
      <c r="I1463" s="990"/>
      <c r="J1463" s="57"/>
      <c r="K1463" s="57"/>
      <c r="L1463" s="57"/>
      <c r="M1463" s="57"/>
      <c r="N1463" s="57"/>
      <c r="O1463" s="57"/>
      <c r="P1463" s="57"/>
      <c r="Q1463" s="57"/>
      <c r="R1463" s="57"/>
      <c r="S1463" s="57"/>
      <c r="T1463" s="57"/>
      <c r="U1463" s="57"/>
      <c r="V1463" s="57"/>
      <c r="W1463" s="57"/>
      <c r="X1463" s="57"/>
      <c r="Y1463" s="57"/>
      <c r="Z1463" s="57"/>
      <c r="AA1463" s="57"/>
      <c r="AB1463" s="57"/>
      <c r="AC1463" s="57"/>
      <c r="AD1463" s="57"/>
      <c r="AE1463" s="57"/>
      <c r="AF1463" s="57"/>
    </row>
    <row r="1464" spans="1:32" x14ac:dyDescent="0.2">
      <c r="A1464" s="57"/>
      <c r="B1464" s="57"/>
      <c r="C1464" s="57"/>
      <c r="D1464" s="57"/>
      <c r="E1464" s="57"/>
      <c r="F1464" s="985"/>
      <c r="G1464" s="57"/>
      <c r="H1464" s="57"/>
      <c r="I1464" s="990"/>
      <c r="J1464" s="57"/>
      <c r="K1464" s="57"/>
      <c r="L1464" s="57"/>
      <c r="M1464" s="57"/>
      <c r="N1464" s="57"/>
      <c r="O1464" s="57"/>
      <c r="P1464" s="57"/>
      <c r="Q1464" s="57"/>
      <c r="R1464" s="57"/>
      <c r="S1464" s="57"/>
      <c r="T1464" s="57"/>
      <c r="U1464" s="57"/>
      <c r="V1464" s="57"/>
      <c r="W1464" s="57"/>
      <c r="X1464" s="57"/>
      <c r="Y1464" s="57"/>
      <c r="Z1464" s="57"/>
      <c r="AA1464" s="57"/>
      <c r="AB1464" s="57"/>
      <c r="AC1464" s="57"/>
      <c r="AD1464" s="57"/>
      <c r="AE1464" s="57"/>
      <c r="AF1464" s="57"/>
    </row>
    <row r="1465" spans="1:32" x14ac:dyDescent="0.2">
      <c r="A1465" s="57"/>
      <c r="B1465" s="57"/>
      <c r="C1465" s="57"/>
      <c r="D1465" s="57"/>
      <c r="E1465" s="57"/>
      <c r="F1465" s="985"/>
      <c r="G1465" s="57"/>
      <c r="H1465" s="57"/>
      <c r="I1465" s="990"/>
      <c r="J1465" s="57"/>
      <c r="K1465" s="57"/>
      <c r="L1465" s="57"/>
      <c r="M1465" s="57"/>
      <c r="N1465" s="57"/>
      <c r="O1465" s="57"/>
      <c r="P1465" s="57"/>
      <c r="Q1465" s="57"/>
      <c r="R1465" s="57"/>
      <c r="S1465" s="57"/>
      <c r="T1465" s="57"/>
      <c r="U1465" s="57"/>
      <c r="V1465" s="57"/>
      <c r="W1465" s="57"/>
      <c r="X1465" s="57"/>
      <c r="Y1465" s="57"/>
      <c r="Z1465" s="57"/>
      <c r="AA1465" s="57"/>
      <c r="AB1465" s="57"/>
      <c r="AC1465" s="57"/>
      <c r="AD1465" s="57"/>
      <c r="AE1465" s="57"/>
      <c r="AF1465" s="57"/>
    </row>
    <row r="1466" spans="1:32" x14ac:dyDescent="0.2">
      <c r="A1466" s="57"/>
      <c r="B1466" s="57"/>
      <c r="C1466" s="57"/>
      <c r="D1466" s="57"/>
      <c r="E1466" s="57"/>
      <c r="F1466" s="985"/>
      <c r="G1466" s="57"/>
      <c r="H1466" s="57"/>
      <c r="I1466" s="990"/>
      <c r="J1466" s="57"/>
      <c r="K1466" s="57"/>
      <c r="L1466" s="57"/>
      <c r="M1466" s="57"/>
      <c r="N1466" s="57"/>
      <c r="O1466" s="57"/>
      <c r="P1466" s="57"/>
      <c r="Q1466" s="57"/>
      <c r="R1466" s="57"/>
      <c r="S1466" s="57"/>
      <c r="T1466" s="57"/>
      <c r="U1466" s="57"/>
      <c r="V1466" s="57"/>
      <c r="W1466" s="57"/>
      <c r="X1466" s="57"/>
      <c r="Y1466" s="57"/>
      <c r="Z1466" s="57"/>
      <c r="AA1466" s="57"/>
      <c r="AB1466" s="57"/>
      <c r="AC1466" s="57"/>
      <c r="AD1466" s="57"/>
      <c r="AE1466" s="57"/>
      <c r="AF1466" s="57"/>
    </row>
    <row r="1467" spans="1:32" x14ac:dyDescent="0.2">
      <c r="A1467" s="57"/>
      <c r="B1467" s="57"/>
      <c r="C1467" s="57"/>
      <c r="D1467" s="57"/>
      <c r="E1467" s="57"/>
      <c r="F1467" s="985"/>
      <c r="G1467" s="57"/>
      <c r="H1467" s="57"/>
      <c r="I1467" s="990"/>
      <c r="J1467" s="57"/>
      <c r="K1467" s="57"/>
      <c r="L1467" s="57"/>
      <c r="M1467" s="57"/>
      <c r="N1467" s="57"/>
      <c r="O1467" s="57"/>
      <c r="P1467" s="57"/>
      <c r="Q1467" s="57"/>
      <c r="R1467" s="57"/>
      <c r="S1467" s="57"/>
      <c r="T1467" s="57"/>
      <c r="U1467" s="57"/>
      <c r="V1467" s="57"/>
      <c r="W1467" s="57"/>
      <c r="X1467" s="57"/>
      <c r="Y1467" s="57"/>
      <c r="Z1467" s="57"/>
      <c r="AA1467" s="57"/>
      <c r="AB1467" s="57"/>
      <c r="AC1467" s="57"/>
      <c r="AD1467" s="57"/>
      <c r="AE1467" s="57"/>
      <c r="AF1467" s="57"/>
    </row>
    <row r="1468" spans="1:32" x14ac:dyDescent="0.2">
      <c r="A1468" s="57"/>
      <c r="B1468" s="57"/>
      <c r="C1468" s="57"/>
      <c r="D1468" s="57"/>
      <c r="E1468" s="57"/>
      <c r="F1468" s="985"/>
      <c r="G1468" s="57"/>
      <c r="H1468" s="57"/>
      <c r="I1468" s="990"/>
      <c r="J1468" s="57"/>
      <c r="K1468" s="57"/>
      <c r="L1468" s="57"/>
      <c r="M1468" s="57"/>
      <c r="N1468" s="57"/>
      <c r="O1468" s="57"/>
      <c r="P1468" s="57"/>
      <c r="Q1468" s="57"/>
      <c r="R1468" s="57"/>
      <c r="S1468" s="57"/>
      <c r="T1468" s="57"/>
      <c r="U1468" s="57"/>
      <c r="V1468" s="57"/>
      <c r="W1468" s="57"/>
      <c r="X1468" s="57"/>
      <c r="Y1468" s="57"/>
      <c r="Z1468" s="57"/>
      <c r="AA1468" s="57"/>
      <c r="AB1468" s="57"/>
      <c r="AC1468" s="57"/>
      <c r="AD1468" s="57"/>
      <c r="AE1468" s="57"/>
      <c r="AF1468" s="57"/>
    </row>
    <row r="1469" spans="1:32" x14ac:dyDescent="0.2">
      <c r="A1469" s="57"/>
      <c r="B1469" s="57"/>
      <c r="C1469" s="57"/>
      <c r="D1469" s="57"/>
      <c r="E1469" s="57"/>
      <c r="F1469" s="985"/>
      <c r="G1469" s="57"/>
      <c r="H1469" s="57"/>
      <c r="I1469" s="990"/>
      <c r="J1469" s="57"/>
      <c r="K1469" s="57"/>
      <c r="L1469" s="57"/>
      <c r="M1469" s="57"/>
      <c r="N1469" s="57"/>
      <c r="O1469" s="57"/>
      <c r="P1469" s="57"/>
      <c r="Q1469" s="57"/>
      <c r="R1469" s="57"/>
      <c r="S1469" s="57"/>
      <c r="T1469" s="57"/>
      <c r="U1469" s="57"/>
      <c r="V1469" s="57"/>
      <c r="W1469" s="57"/>
      <c r="X1469" s="57"/>
      <c r="Y1469" s="57"/>
      <c r="Z1469" s="57"/>
      <c r="AA1469" s="57"/>
      <c r="AB1469" s="57"/>
      <c r="AC1469" s="57"/>
      <c r="AD1469" s="57"/>
      <c r="AE1469" s="57"/>
      <c r="AF1469" s="57"/>
    </row>
    <row r="1470" spans="1:32" x14ac:dyDescent="0.2">
      <c r="A1470" s="57"/>
      <c r="B1470" s="57"/>
      <c r="C1470" s="57"/>
      <c r="D1470" s="57"/>
      <c r="E1470" s="57"/>
      <c r="F1470" s="985"/>
      <c r="G1470" s="57"/>
      <c r="H1470" s="57"/>
      <c r="I1470" s="990"/>
      <c r="J1470" s="57"/>
      <c r="K1470" s="57"/>
      <c r="L1470" s="57"/>
      <c r="M1470" s="57"/>
      <c r="N1470" s="57"/>
      <c r="O1470" s="57"/>
      <c r="P1470" s="57"/>
      <c r="Q1470" s="57"/>
      <c r="R1470" s="57"/>
      <c r="S1470" s="57"/>
      <c r="T1470" s="57"/>
      <c r="U1470" s="57"/>
      <c r="V1470" s="57"/>
      <c r="W1470" s="57"/>
      <c r="X1470" s="57"/>
      <c r="Y1470" s="57"/>
      <c r="Z1470" s="57"/>
      <c r="AA1470" s="57"/>
      <c r="AB1470" s="57"/>
      <c r="AC1470" s="57"/>
      <c r="AD1470" s="57"/>
      <c r="AE1470" s="57"/>
      <c r="AF1470" s="57"/>
    </row>
    <row r="1471" spans="1:32" x14ac:dyDescent="0.2">
      <c r="A1471" s="57"/>
      <c r="B1471" s="57"/>
      <c r="C1471" s="57"/>
      <c r="D1471" s="57"/>
      <c r="E1471" s="57"/>
      <c r="F1471" s="985"/>
      <c r="G1471" s="57"/>
      <c r="H1471" s="57"/>
      <c r="I1471" s="990"/>
      <c r="J1471" s="57"/>
      <c r="K1471" s="57"/>
      <c r="L1471" s="57"/>
      <c r="M1471" s="57"/>
      <c r="N1471" s="57"/>
      <c r="O1471" s="57"/>
      <c r="P1471" s="57"/>
      <c r="Q1471" s="57"/>
      <c r="R1471" s="57"/>
      <c r="S1471" s="57"/>
      <c r="T1471" s="57"/>
      <c r="U1471" s="57"/>
      <c r="V1471" s="57"/>
      <c r="W1471" s="57"/>
      <c r="X1471" s="57"/>
      <c r="Y1471" s="57"/>
      <c r="Z1471" s="57"/>
      <c r="AA1471" s="57"/>
      <c r="AB1471" s="57"/>
      <c r="AC1471" s="57"/>
      <c r="AD1471" s="57"/>
      <c r="AE1471" s="57"/>
      <c r="AF1471" s="57"/>
    </row>
    <row r="1472" spans="1:32" x14ac:dyDescent="0.2">
      <c r="A1472" s="57"/>
      <c r="B1472" s="57"/>
      <c r="C1472" s="57"/>
      <c r="D1472" s="57"/>
      <c r="E1472" s="57"/>
      <c r="F1472" s="985"/>
      <c r="G1472" s="57"/>
      <c r="H1472" s="57"/>
      <c r="I1472" s="990"/>
      <c r="J1472" s="57"/>
      <c r="K1472" s="57"/>
      <c r="L1472" s="57"/>
      <c r="M1472" s="57"/>
      <c r="N1472" s="57"/>
      <c r="O1472" s="57"/>
      <c r="P1472" s="57"/>
      <c r="Q1472" s="57"/>
      <c r="R1472" s="57"/>
      <c r="S1472" s="57"/>
      <c r="T1472" s="57"/>
      <c r="U1472" s="57"/>
      <c r="V1472" s="57"/>
      <c r="W1472" s="57"/>
      <c r="X1472" s="57"/>
      <c r="Y1472" s="57"/>
      <c r="Z1472" s="57"/>
      <c r="AA1472" s="57"/>
      <c r="AB1472" s="57"/>
      <c r="AC1472" s="57"/>
      <c r="AD1472" s="57"/>
      <c r="AE1472" s="57"/>
      <c r="AF1472" s="57"/>
    </row>
    <row r="1473" spans="1:32" x14ac:dyDescent="0.2">
      <c r="A1473" s="57"/>
      <c r="B1473" s="57"/>
      <c r="C1473" s="57"/>
      <c r="D1473" s="57"/>
      <c r="E1473" s="57"/>
      <c r="F1473" s="985"/>
      <c r="G1473" s="57"/>
      <c r="H1473" s="57"/>
      <c r="I1473" s="990"/>
      <c r="J1473" s="57"/>
      <c r="K1473" s="57"/>
      <c r="L1473" s="57"/>
      <c r="M1473" s="57"/>
      <c r="N1473" s="57"/>
      <c r="O1473" s="57"/>
      <c r="P1473" s="57"/>
      <c r="Q1473" s="57"/>
      <c r="R1473" s="57"/>
      <c r="S1473" s="57"/>
      <c r="T1473" s="57"/>
      <c r="U1473" s="57"/>
      <c r="V1473" s="57"/>
      <c r="W1473" s="57"/>
      <c r="X1473" s="57"/>
      <c r="Y1473" s="57"/>
      <c r="Z1473" s="57"/>
      <c r="AA1473" s="57"/>
      <c r="AB1473" s="57"/>
      <c r="AC1473" s="57"/>
      <c r="AD1473" s="57"/>
      <c r="AE1473" s="57"/>
      <c r="AF1473" s="57"/>
    </row>
    <row r="1474" spans="1:32" x14ac:dyDescent="0.2">
      <c r="A1474" s="57"/>
      <c r="B1474" s="57"/>
      <c r="C1474" s="57"/>
      <c r="D1474" s="57"/>
      <c r="E1474" s="57"/>
      <c r="F1474" s="985"/>
      <c r="G1474" s="57"/>
      <c r="H1474" s="57"/>
      <c r="I1474" s="990"/>
      <c r="J1474" s="57"/>
      <c r="K1474" s="57"/>
      <c r="L1474" s="57"/>
      <c r="M1474" s="57"/>
      <c r="N1474" s="57"/>
      <c r="O1474" s="57"/>
      <c r="P1474" s="57"/>
      <c r="Q1474" s="57"/>
      <c r="R1474" s="57"/>
      <c r="S1474" s="57"/>
      <c r="T1474" s="57"/>
      <c r="U1474" s="57"/>
      <c r="V1474" s="57"/>
      <c r="W1474" s="57"/>
      <c r="X1474" s="57"/>
      <c r="Y1474" s="57"/>
      <c r="Z1474" s="57"/>
      <c r="AA1474" s="57"/>
      <c r="AB1474" s="57"/>
      <c r="AC1474" s="57"/>
      <c r="AD1474" s="57"/>
      <c r="AE1474" s="57"/>
      <c r="AF1474" s="57"/>
    </row>
    <row r="1475" spans="1:32" x14ac:dyDescent="0.2">
      <c r="A1475" s="57"/>
      <c r="B1475" s="57"/>
      <c r="C1475" s="57"/>
      <c r="D1475" s="57"/>
      <c r="E1475" s="57"/>
      <c r="F1475" s="985"/>
      <c r="G1475" s="57"/>
      <c r="H1475" s="57"/>
      <c r="I1475" s="990"/>
      <c r="J1475" s="57"/>
      <c r="K1475" s="57"/>
      <c r="L1475" s="57"/>
      <c r="M1475" s="57"/>
      <c r="N1475" s="57"/>
      <c r="O1475" s="57"/>
      <c r="P1475" s="57"/>
      <c r="Q1475" s="57"/>
      <c r="R1475" s="57"/>
      <c r="S1475" s="57"/>
      <c r="T1475" s="57"/>
      <c r="U1475" s="57"/>
      <c r="V1475" s="57"/>
      <c r="W1475" s="57"/>
      <c r="X1475" s="57"/>
      <c r="Y1475" s="57"/>
      <c r="Z1475" s="57"/>
      <c r="AA1475" s="57"/>
      <c r="AB1475" s="57"/>
      <c r="AC1475" s="57"/>
      <c r="AD1475" s="57"/>
      <c r="AE1475" s="57"/>
      <c r="AF1475" s="57"/>
    </row>
    <row r="1476" spans="1:32" x14ac:dyDescent="0.2">
      <c r="A1476" s="57"/>
      <c r="B1476" s="57"/>
      <c r="C1476" s="57"/>
      <c r="D1476" s="57"/>
      <c r="E1476" s="57"/>
      <c r="F1476" s="985"/>
      <c r="G1476" s="57"/>
      <c r="H1476" s="57"/>
      <c r="I1476" s="990"/>
      <c r="J1476" s="57"/>
      <c r="K1476" s="57"/>
      <c r="L1476" s="57"/>
      <c r="M1476" s="57"/>
      <c r="N1476" s="57"/>
      <c r="O1476" s="57"/>
      <c r="P1476" s="57"/>
      <c r="Q1476" s="57"/>
      <c r="R1476" s="57"/>
      <c r="S1476" s="57"/>
      <c r="T1476" s="57"/>
      <c r="U1476" s="57"/>
      <c r="V1476" s="57"/>
      <c r="W1476" s="57"/>
      <c r="X1476" s="57"/>
      <c r="Y1476" s="57"/>
      <c r="Z1476" s="57"/>
      <c r="AA1476" s="57"/>
      <c r="AB1476" s="57"/>
      <c r="AC1476" s="57"/>
      <c r="AD1476" s="57"/>
      <c r="AE1476" s="57"/>
      <c r="AF1476" s="57"/>
    </row>
    <row r="1477" spans="1:32" x14ac:dyDescent="0.2">
      <c r="A1477" s="57"/>
      <c r="B1477" s="57"/>
      <c r="C1477" s="57"/>
      <c r="D1477" s="57"/>
      <c r="E1477" s="57"/>
      <c r="F1477" s="985"/>
      <c r="G1477" s="57"/>
      <c r="H1477" s="57"/>
      <c r="I1477" s="990"/>
      <c r="J1477" s="57"/>
      <c r="K1477" s="57"/>
      <c r="L1477" s="57"/>
      <c r="M1477" s="57"/>
      <c r="N1477" s="57"/>
      <c r="O1477" s="57"/>
      <c r="P1477" s="57"/>
      <c r="Q1477" s="57"/>
      <c r="R1477" s="57"/>
      <c r="S1477" s="57"/>
      <c r="T1477" s="57"/>
      <c r="U1477" s="57"/>
      <c r="V1477" s="57"/>
      <c r="W1477" s="57"/>
      <c r="X1477" s="57"/>
      <c r="Y1477" s="57"/>
      <c r="Z1477" s="57"/>
      <c r="AA1477" s="57"/>
      <c r="AB1477" s="57"/>
      <c r="AC1477" s="57"/>
      <c r="AD1477" s="57"/>
      <c r="AE1477" s="57"/>
      <c r="AF1477" s="57"/>
    </row>
    <row r="1478" spans="1:32" x14ac:dyDescent="0.2">
      <c r="A1478" s="57"/>
      <c r="B1478" s="57"/>
      <c r="C1478" s="57"/>
      <c r="D1478" s="57"/>
      <c r="E1478" s="57"/>
      <c r="F1478" s="985"/>
      <c r="G1478" s="57"/>
      <c r="H1478" s="57"/>
      <c r="I1478" s="990"/>
      <c r="J1478" s="57"/>
      <c r="K1478" s="57"/>
      <c r="L1478" s="57"/>
      <c r="M1478" s="57"/>
      <c r="N1478" s="57"/>
      <c r="O1478" s="57"/>
      <c r="P1478" s="57"/>
      <c r="Q1478" s="57"/>
      <c r="R1478" s="57"/>
      <c r="S1478" s="57"/>
      <c r="T1478" s="57"/>
      <c r="U1478" s="57"/>
      <c r="V1478" s="57"/>
      <c r="W1478" s="57"/>
      <c r="X1478" s="57"/>
      <c r="Y1478" s="57"/>
      <c r="Z1478" s="57"/>
      <c r="AA1478" s="57"/>
      <c r="AB1478" s="57"/>
      <c r="AC1478" s="57"/>
      <c r="AD1478" s="57"/>
      <c r="AE1478" s="57"/>
      <c r="AF1478" s="57"/>
    </row>
    <row r="1479" spans="1:32" x14ac:dyDescent="0.2">
      <c r="A1479" s="57"/>
      <c r="B1479" s="57"/>
      <c r="C1479" s="57"/>
      <c r="D1479" s="57"/>
      <c r="E1479" s="57"/>
      <c r="F1479" s="985"/>
      <c r="G1479" s="57"/>
      <c r="H1479" s="57"/>
      <c r="I1479" s="990"/>
      <c r="J1479" s="57"/>
      <c r="K1479" s="57"/>
      <c r="L1479" s="57"/>
      <c r="M1479" s="57"/>
      <c r="N1479" s="57"/>
      <c r="O1479" s="57"/>
      <c r="P1479" s="57"/>
      <c r="Q1479" s="57"/>
      <c r="R1479" s="57"/>
      <c r="S1479" s="57"/>
      <c r="T1479" s="57"/>
      <c r="U1479" s="57"/>
      <c r="V1479" s="57"/>
      <c r="W1479" s="57"/>
      <c r="X1479" s="57"/>
      <c r="Y1479" s="57"/>
      <c r="Z1479" s="57"/>
      <c r="AA1479" s="57"/>
      <c r="AB1479" s="57"/>
      <c r="AC1479" s="57"/>
      <c r="AD1479" s="57"/>
      <c r="AE1479" s="57"/>
      <c r="AF1479" s="57"/>
    </row>
    <row r="1480" spans="1:32" x14ac:dyDescent="0.2">
      <c r="A1480" s="57"/>
      <c r="B1480" s="57"/>
      <c r="C1480" s="57"/>
      <c r="D1480" s="57"/>
      <c r="E1480" s="57"/>
      <c r="F1480" s="985"/>
      <c r="G1480" s="57"/>
      <c r="H1480" s="57"/>
      <c r="I1480" s="990"/>
      <c r="J1480" s="57"/>
      <c r="K1480" s="57"/>
      <c r="L1480" s="57"/>
      <c r="M1480" s="57"/>
      <c r="N1480" s="57"/>
      <c r="O1480" s="57"/>
      <c r="P1480" s="57"/>
      <c r="Q1480" s="57"/>
      <c r="R1480" s="57"/>
      <c r="S1480" s="57"/>
      <c r="T1480" s="57"/>
      <c r="U1480" s="57"/>
      <c r="V1480" s="57"/>
      <c r="W1480" s="57"/>
      <c r="X1480" s="57"/>
      <c r="Y1480" s="57"/>
      <c r="Z1480" s="57"/>
      <c r="AA1480" s="57"/>
      <c r="AB1480" s="57"/>
      <c r="AC1480" s="57"/>
      <c r="AD1480" s="57"/>
      <c r="AE1480" s="57"/>
      <c r="AF1480" s="57"/>
    </row>
    <row r="1481" spans="1:32" x14ac:dyDescent="0.2">
      <c r="A1481" s="57"/>
      <c r="B1481" s="57"/>
      <c r="C1481" s="57"/>
      <c r="D1481" s="57"/>
      <c r="E1481" s="57"/>
      <c r="F1481" s="985"/>
      <c r="G1481" s="57"/>
      <c r="H1481" s="57"/>
      <c r="I1481" s="990"/>
      <c r="J1481" s="57"/>
      <c r="K1481" s="57"/>
      <c r="L1481" s="57"/>
      <c r="M1481" s="57"/>
      <c r="N1481" s="57"/>
      <c r="O1481" s="57"/>
      <c r="P1481" s="57"/>
      <c r="Q1481" s="57"/>
      <c r="R1481" s="57"/>
      <c r="S1481" s="57"/>
      <c r="T1481" s="57"/>
      <c r="U1481" s="57"/>
      <c r="V1481" s="57"/>
      <c r="W1481" s="57"/>
      <c r="X1481" s="57"/>
      <c r="Y1481" s="57"/>
      <c r="Z1481" s="57"/>
      <c r="AA1481" s="57"/>
      <c r="AB1481" s="57"/>
      <c r="AC1481" s="57"/>
      <c r="AD1481" s="57"/>
      <c r="AE1481" s="57"/>
      <c r="AF1481" s="57"/>
    </row>
    <row r="1482" spans="1:32" x14ac:dyDescent="0.2">
      <c r="A1482" s="57"/>
      <c r="B1482" s="57"/>
      <c r="C1482" s="57"/>
      <c r="D1482" s="57"/>
      <c r="E1482" s="57"/>
      <c r="F1482" s="985"/>
      <c r="G1482" s="57"/>
      <c r="H1482" s="57"/>
      <c r="I1482" s="990"/>
      <c r="J1482" s="57"/>
      <c r="K1482" s="57"/>
      <c r="L1482" s="57"/>
      <c r="M1482" s="57"/>
      <c r="N1482" s="57"/>
      <c r="O1482" s="57"/>
      <c r="P1482" s="57"/>
      <c r="Q1482" s="57"/>
      <c r="R1482" s="57"/>
      <c r="S1482" s="57"/>
      <c r="T1482" s="57"/>
      <c r="U1482" s="57"/>
      <c r="V1482" s="57"/>
      <c r="W1482" s="57"/>
      <c r="X1482" s="57"/>
      <c r="Y1482" s="57"/>
      <c r="Z1482" s="57"/>
      <c r="AA1482" s="57"/>
      <c r="AB1482" s="57"/>
      <c r="AC1482" s="57"/>
      <c r="AD1482" s="57"/>
      <c r="AE1482" s="57"/>
      <c r="AF1482" s="57"/>
    </row>
    <row r="1483" spans="1:32" x14ac:dyDescent="0.2">
      <c r="A1483" s="57"/>
      <c r="B1483" s="57"/>
      <c r="C1483" s="57"/>
      <c r="D1483" s="57"/>
      <c r="E1483" s="57"/>
      <c r="F1483" s="985"/>
      <c r="G1483" s="57"/>
      <c r="H1483" s="57"/>
      <c r="I1483" s="990"/>
      <c r="J1483" s="57"/>
      <c r="K1483" s="57"/>
      <c r="L1483" s="57"/>
      <c r="M1483" s="57"/>
      <c r="N1483" s="57"/>
      <c r="O1483" s="57"/>
      <c r="P1483" s="57"/>
      <c r="Q1483" s="57"/>
      <c r="R1483" s="57"/>
      <c r="S1483" s="57"/>
      <c r="T1483" s="57"/>
      <c r="U1483" s="57"/>
      <c r="V1483" s="57"/>
      <c r="W1483" s="57"/>
      <c r="X1483" s="57"/>
      <c r="Y1483" s="57"/>
      <c r="Z1483" s="57"/>
      <c r="AA1483" s="57"/>
      <c r="AB1483" s="57"/>
      <c r="AC1483" s="57"/>
      <c r="AD1483" s="57"/>
      <c r="AE1483" s="57"/>
      <c r="AF1483" s="57"/>
    </row>
    <row r="1484" spans="1:32" x14ac:dyDescent="0.2">
      <c r="A1484" s="57"/>
      <c r="B1484" s="57"/>
      <c r="C1484" s="57"/>
      <c r="D1484" s="57"/>
      <c r="E1484" s="57"/>
      <c r="F1484" s="985"/>
      <c r="G1484" s="57"/>
      <c r="H1484" s="57"/>
      <c r="I1484" s="990"/>
      <c r="J1484" s="57"/>
      <c r="K1484" s="57"/>
      <c r="L1484" s="57"/>
      <c r="M1484" s="57"/>
      <c r="N1484" s="57"/>
      <c r="O1484" s="57"/>
      <c r="P1484" s="57"/>
      <c r="Q1484" s="57"/>
      <c r="R1484" s="57"/>
      <c r="S1484" s="57"/>
      <c r="T1484" s="57"/>
      <c r="U1484" s="57"/>
      <c r="V1484" s="57"/>
      <c r="W1484" s="57"/>
      <c r="X1484" s="57"/>
      <c r="Y1484" s="57"/>
      <c r="Z1484" s="57"/>
      <c r="AA1484" s="57"/>
      <c r="AB1484" s="57"/>
      <c r="AC1484" s="57"/>
      <c r="AD1484" s="57"/>
      <c r="AE1484" s="57"/>
      <c r="AF1484" s="57"/>
    </row>
    <row r="1485" spans="1:32" x14ac:dyDescent="0.2">
      <c r="A1485" s="57"/>
      <c r="B1485" s="57"/>
      <c r="C1485" s="57"/>
      <c r="D1485" s="57"/>
      <c r="E1485" s="57"/>
      <c r="F1485" s="985"/>
      <c r="G1485" s="57"/>
      <c r="H1485" s="57"/>
      <c r="I1485" s="990"/>
      <c r="J1485" s="57"/>
      <c r="K1485" s="57"/>
      <c r="L1485" s="57"/>
      <c r="M1485" s="57"/>
      <c r="N1485" s="57"/>
      <c r="O1485" s="57"/>
      <c r="P1485" s="57"/>
      <c r="Q1485" s="57"/>
      <c r="R1485" s="57"/>
      <c r="S1485" s="57"/>
      <c r="T1485" s="57"/>
      <c r="U1485" s="57"/>
      <c r="V1485" s="57"/>
      <c r="W1485" s="57"/>
      <c r="X1485" s="57"/>
      <c r="Y1485" s="57"/>
      <c r="Z1485" s="57"/>
      <c r="AA1485" s="57"/>
      <c r="AB1485" s="57"/>
      <c r="AC1485" s="57"/>
      <c r="AD1485" s="57"/>
      <c r="AE1485" s="57"/>
      <c r="AF1485" s="57"/>
    </row>
    <row r="1486" spans="1:32" x14ac:dyDescent="0.2">
      <c r="A1486" s="57"/>
      <c r="B1486" s="57"/>
      <c r="C1486" s="57"/>
      <c r="D1486" s="57"/>
      <c r="E1486" s="57"/>
      <c r="F1486" s="985"/>
      <c r="G1486" s="57"/>
      <c r="H1486" s="57"/>
      <c r="I1486" s="990"/>
      <c r="J1486" s="57"/>
      <c r="K1486" s="57"/>
      <c r="L1486" s="57"/>
      <c r="M1486" s="57"/>
      <c r="N1486" s="57"/>
      <c r="O1486" s="57"/>
      <c r="P1486" s="57"/>
      <c r="Q1486" s="57"/>
      <c r="R1486" s="57"/>
      <c r="S1486" s="57"/>
      <c r="T1486" s="57"/>
      <c r="U1486" s="57"/>
      <c r="V1486" s="57"/>
      <c r="W1486" s="57"/>
      <c r="X1486" s="57"/>
      <c r="Y1486" s="57"/>
      <c r="Z1486" s="57"/>
      <c r="AA1486" s="57"/>
      <c r="AB1486" s="57"/>
      <c r="AC1486" s="57"/>
      <c r="AD1486" s="57"/>
      <c r="AE1486" s="57"/>
      <c r="AF1486" s="57"/>
    </row>
    <row r="1487" spans="1:32" x14ac:dyDescent="0.2">
      <c r="A1487" s="57"/>
      <c r="B1487" s="57"/>
      <c r="C1487" s="57"/>
      <c r="D1487" s="57"/>
      <c r="E1487" s="57"/>
      <c r="F1487" s="985"/>
      <c r="G1487" s="57"/>
      <c r="H1487" s="57"/>
      <c r="I1487" s="990"/>
      <c r="J1487" s="57"/>
      <c r="K1487" s="57"/>
      <c r="L1487" s="57"/>
      <c r="M1487" s="57"/>
      <c r="N1487" s="57"/>
      <c r="O1487" s="57"/>
      <c r="P1487" s="57"/>
      <c r="Q1487" s="57"/>
      <c r="R1487" s="57"/>
      <c r="S1487" s="57"/>
      <c r="T1487" s="57"/>
      <c r="U1487" s="57"/>
      <c r="V1487" s="57"/>
      <c r="W1487" s="57"/>
      <c r="X1487" s="57"/>
      <c r="Y1487" s="57"/>
      <c r="Z1487" s="57"/>
      <c r="AA1487" s="57"/>
      <c r="AB1487" s="57"/>
      <c r="AC1487" s="57"/>
      <c r="AD1487" s="57"/>
      <c r="AE1487" s="57"/>
      <c r="AF1487" s="57"/>
    </row>
    <row r="1488" spans="1:32" x14ac:dyDescent="0.2">
      <c r="A1488" s="57"/>
      <c r="B1488" s="57"/>
      <c r="C1488" s="57"/>
      <c r="D1488" s="57"/>
      <c r="E1488" s="57"/>
      <c r="F1488" s="985"/>
      <c r="G1488" s="57"/>
      <c r="H1488" s="57"/>
      <c r="I1488" s="990"/>
      <c r="J1488" s="57"/>
      <c r="K1488" s="57"/>
      <c r="L1488" s="57"/>
      <c r="M1488" s="57"/>
      <c r="N1488" s="57"/>
      <c r="O1488" s="57"/>
      <c r="P1488" s="57"/>
      <c r="Q1488" s="57"/>
      <c r="R1488" s="57"/>
      <c r="S1488" s="57"/>
      <c r="T1488" s="57"/>
      <c r="U1488" s="57"/>
      <c r="V1488" s="57"/>
      <c r="W1488" s="57"/>
      <c r="X1488" s="57"/>
      <c r="Y1488" s="57"/>
      <c r="Z1488" s="57"/>
      <c r="AA1488" s="57"/>
      <c r="AB1488" s="57"/>
      <c r="AC1488" s="57"/>
      <c r="AD1488" s="57"/>
      <c r="AE1488" s="57"/>
      <c r="AF1488" s="57"/>
    </row>
    <row r="1489" spans="1:32" x14ac:dyDescent="0.2">
      <c r="A1489" s="57"/>
      <c r="B1489" s="57"/>
      <c r="C1489" s="57"/>
      <c r="D1489" s="57"/>
      <c r="E1489" s="57"/>
      <c r="F1489" s="985"/>
      <c r="G1489" s="57"/>
      <c r="H1489" s="57"/>
      <c r="I1489" s="990"/>
      <c r="J1489" s="57"/>
      <c r="K1489" s="57"/>
      <c r="L1489" s="57"/>
      <c r="M1489" s="57"/>
      <c r="N1489" s="57"/>
      <c r="O1489" s="57"/>
      <c r="P1489" s="57"/>
      <c r="Q1489" s="57"/>
      <c r="R1489" s="57"/>
      <c r="S1489" s="57"/>
      <c r="T1489" s="57"/>
      <c r="U1489" s="57"/>
      <c r="V1489" s="57"/>
      <c r="W1489" s="57"/>
      <c r="X1489" s="57"/>
      <c r="Y1489" s="57"/>
      <c r="Z1489" s="57"/>
      <c r="AA1489" s="57"/>
      <c r="AB1489" s="57"/>
      <c r="AC1489" s="57"/>
      <c r="AD1489" s="57"/>
      <c r="AE1489" s="57"/>
      <c r="AF1489" s="57"/>
    </row>
    <row r="1490" spans="1:32" x14ac:dyDescent="0.2">
      <c r="A1490" s="57"/>
      <c r="B1490" s="57"/>
      <c r="C1490" s="57"/>
      <c r="D1490" s="57"/>
      <c r="E1490" s="57"/>
      <c r="F1490" s="985"/>
      <c r="G1490" s="57"/>
      <c r="H1490" s="57"/>
      <c r="I1490" s="990"/>
      <c r="J1490" s="57"/>
      <c r="K1490" s="57"/>
      <c r="L1490" s="57"/>
      <c r="M1490" s="57"/>
      <c r="N1490" s="57"/>
      <c r="O1490" s="57"/>
      <c r="P1490" s="57"/>
      <c r="Q1490" s="57"/>
      <c r="R1490" s="57"/>
      <c r="S1490" s="57"/>
      <c r="T1490" s="57"/>
      <c r="U1490" s="57"/>
      <c r="V1490" s="57"/>
      <c r="W1490" s="57"/>
      <c r="X1490" s="57"/>
      <c r="Y1490" s="57"/>
      <c r="Z1490" s="57"/>
      <c r="AA1490" s="57"/>
      <c r="AB1490" s="57"/>
      <c r="AC1490" s="57"/>
      <c r="AD1490" s="57"/>
      <c r="AE1490" s="57"/>
      <c r="AF1490" s="57"/>
    </row>
    <row r="1491" spans="1:32" x14ac:dyDescent="0.2">
      <c r="A1491" s="57"/>
      <c r="B1491" s="57"/>
      <c r="C1491" s="57"/>
      <c r="D1491" s="57"/>
      <c r="E1491" s="57"/>
      <c r="F1491" s="985"/>
      <c r="G1491" s="57"/>
      <c r="H1491" s="57"/>
      <c r="I1491" s="990"/>
      <c r="J1491" s="57"/>
      <c r="K1491" s="57"/>
      <c r="L1491" s="57"/>
      <c r="M1491" s="57"/>
      <c r="N1491" s="57"/>
      <c r="O1491" s="57"/>
      <c r="P1491" s="57"/>
      <c r="Q1491" s="57"/>
      <c r="R1491" s="57"/>
      <c r="S1491" s="57"/>
      <c r="T1491" s="57"/>
      <c r="U1491" s="57"/>
      <c r="V1491" s="57"/>
      <c r="W1491" s="57"/>
      <c r="X1491" s="57"/>
      <c r="Y1491" s="57"/>
      <c r="Z1491" s="57"/>
      <c r="AA1491" s="57"/>
      <c r="AB1491" s="57"/>
      <c r="AC1491" s="57"/>
      <c r="AD1491" s="57"/>
      <c r="AE1491" s="57"/>
      <c r="AF1491" s="57"/>
    </row>
    <row r="1492" spans="1:32" x14ac:dyDescent="0.2">
      <c r="A1492" s="57"/>
      <c r="B1492" s="57"/>
      <c r="C1492" s="57"/>
      <c r="D1492" s="57"/>
      <c r="E1492" s="57"/>
      <c r="F1492" s="985"/>
      <c r="G1492" s="57"/>
      <c r="H1492" s="57"/>
      <c r="I1492" s="990"/>
      <c r="J1492" s="57"/>
      <c r="K1492" s="57"/>
      <c r="L1492" s="57"/>
      <c r="M1492" s="57"/>
      <c r="N1492" s="57"/>
      <c r="O1492" s="57"/>
      <c r="P1492" s="57"/>
      <c r="Q1492" s="57"/>
      <c r="R1492" s="57"/>
      <c r="S1492" s="57"/>
      <c r="T1492" s="57"/>
      <c r="U1492" s="57"/>
      <c r="V1492" s="57"/>
      <c r="W1492" s="57"/>
      <c r="X1492" s="57"/>
      <c r="Y1492" s="57"/>
      <c r="Z1492" s="57"/>
      <c r="AA1492" s="57"/>
      <c r="AB1492" s="57"/>
      <c r="AC1492" s="57"/>
      <c r="AD1492" s="57"/>
      <c r="AE1492" s="57"/>
      <c r="AF1492" s="57"/>
    </row>
    <row r="1493" spans="1:32" x14ac:dyDescent="0.2">
      <c r="A1493" s="57"/>
      <c r="B1493" s="57"/>
      <c r="C1493" s="57"/>
      <c r="D1493" s="57"/>
      <c r="E1493" s="57"/>
      <c r="F1493" s="985"/>
      <c r="G1493" s="57"/>
      <c r="H1493" s="57"/>
      <c r="I1493" s="990"/>
      <c r="J1493" s="57"/>
      <c r="K1493" s="57"/>
      <c r="L1493" s="57"/>
      <c r="M1493" s="57"/>
      <c r="N1493" s="57"/>
      <c r="O1493" s="57"/>
      <c r="P1493" s="57"/>
      <c r="Q1493" s="57"/>
      <c r="R1493" s="57"/>
      <c r="S1493" s="57"/>
      <c r="T1493" s="57"/>
      <c r="U1493" s="57"/>
      <c r="V1493" s="57"/>
      <c r="W1493" s="57"/>
      <c r="X1493" s="57"/>
      <c r="Y1493" s="57"/>
      <c r="Z1493" s="57"/>
      <c r="AA1493" s="57"/>
      <c r="AB1493" s="57"/>
      <c r="AC1493" s="57"/>
      <c r="AD1493" s="57"/>
      <c r="AE1493" s="57"/>
      <c r="AF1493" s="57"/>
    </row>
    <row r="1494" spans="1:32" x14ac:dyDescent="0.2">
      <c r="A1494" s="57"/>
      <c r="B1494" s="57"/>
      <c r="C1494" s="57"/>
      <c r="D1494" s="57"/>
      <c r="E1494" s="57"/>
      <c r="F1494" s="985"/>
      <c r="G1494" s="57"/>
      <c r="H1494" s="57"/>
      <c r="I1494" s="990"/>
      <c r="J1494" s="57"/>
      <c r="K1494" s="57"/>
      <c r="L1494" s="57"/>
      <c r="M1494" s="57"/>
      <c r="N1494" s="57"/>
      <c r="O1494" s="57"/>
      <c r="P1494" s="57"/>
      <c r="Q1494" s="57"/>
      <c r="R1494" s="57"/>
      <c r="S1494" s="57"/>
      <c r="T1494" s="57"/>
      <c r="U1494" s="57"/>
      <c r="V1494" s="57"/>
      <c r="W1494" s="57"/>
      <c r="X1494" s="57"/>
      <c r="Y1494" s="57"/>
      <c r="Z1494" s="57"/>
      <c r="AA1494" s="57"/>
      <c r="AB1494" s="57"/>
      <c r="AC1494" s="57"/>
      <c r="AD1494" s="57"/>
      <c r="AE1494" s="57"/>
      <c r="AF1494" s="57"/>
    </row>
    <row r="1495" spans="1:32" x14ac:dyDescent="0.2">
      <c r="A1495" s="57"/>
      <c r="B1495" s="57"/>
      <c r="C1495" s="57"/>
      <c r="D1495" s="57"/>
      <c r="E1495" s="57"/>
      <c r="F1495" s="985"/>
      <c r="G1495" s="57"/>
      <c r="H1495" s="57"/>
      <c r="I1495" s="990"/>
      <c r="J1495" s="57"/>
      <c r="K1495" s="57"/>
      <c r="L1495" s="57"/>
      <c r="M1495" s="57"/>
      <c r="N1495" s="57"/>
      <c r="O1495" s="57"/>
      <c r="P1495" s="57"/>
      <c r="Q1495" s="57"/>
      <c r="R1495" s="57"/>
      <c r="S1495" s="57"/>
      <c r="T1495" s="57"/>
      <c r="U1495" s="57"/>
      <c r="V1495" s="57"/>
      <c r="W1495" s="57"/>
      <c r="X1495" s="57"/>
      <c r="Y1495" s="57"/>
      <c r="Z1495" s="57"/>
      <c r="AA1495" s="57"/>
      <c r="AB1495" s="57"/>
      <c r="AC1495" s="57"/>
      <c r="AD1495" s="57"/>
      <c r="AE1495" s="57"/>
      <c r="AF1495" s="57"/>
    </row>
    <row r="1496" spans="1:32" x14ac:dyDescent="0.2">
      <c r="A1496" s="57"/>
      <c r="B1496" s="57"/>
      <c r="C1496" s="57"/>
      <c r="D1496" s="57"/>
      <c r="E1496" s="57"/>
      <c r="F1496" s="985"/>
      <c r="G1496" s="57"/>
      <c r="H1496" s="57"/>
      <c r="I1496" s="990"/>
      <c r="J1496" s="57"/>
      <c r="K1496" s="57"/>
      <c r="L1496" s="57"/>
      <c r="M1496" s="57"/>
      <c r="N1496" s="57"/>
      <c r="O1496" s="57"/>
      <c r="P1496" s="57"/>
      <c r="Q1496" s="57"/>
      <c r="R1496" s="57"/>
      <c r="S1496" s="57"/>
      <c r="T1496" s="57"/>
      <c r="U1496" s="57"/>
      <c r="V1496" s="57"/>
      <c r="W1496" s="57"/>
      <c r="X1496" s="57"/>
      <c r="Y1496" s="57"/>
      <c r="Z1496" s="57"/>
      <c r="AA1496" s="57"/>
      <c r="AB1496" s="57"/>
      <c r="AC1496" s="57"/>
      <c r="AD1496" s="57"/>
      <c r="AE1496" s="57"/>
      <c r="AF1496" s="57"/>
    </row>
    <row r="1497" spans="1:32" x14ac:dyDescent="0.2">
      <c r="A1497" s="57"/>
      <c r="B1497" s="57"/>
      <c r="C1497" s="57"/>
      <c r="D1497" s="57"/>
      <c r="E1497" s="57"/>
      <c r="F1497" s="985"/>
      <c r="G1497" s="57"/>
      <c r="H1497" s="57"/>
      <c r="I1497" s="990"/>
      <c r="J1497" s="57"/>
      <c r="K1497" s="57"/>
      <c r="L1497" s="57"/>
      <c r="M1497" s="57"/>
      <c r="N1497" s="57"/>
      <c r="O1497" s="57"/>
      <c r="P1497" s="57"/>
      <c r="Q1497" s="57"/>
      <c r="R1497" s="57"/>
      <c r="S1497" s="57"/>
      <c r="T1497" s="57"/>
      <c r="U1497" s="57"/>
      <c r="V1497" s="57"/>
      <c r="W1497" s="57"/>
      <c r="X1497" s="57"/>
      <c r="Y1497" s="57"/>
      <c r="Z1497" s="57"/>
      <c r="AA1497" s="57"/>
      <c r="AB1497" s="57"/>
      <c r="AC1497" s="57"/>
      <c r="AD1497" s="57"/>
      <c r="AE1497" s="57"/>
      <c r="AF1497" s="57"/>
    </row>
    <row r="1498" spans="1:32" x14ac:dyDescent="0.2">
      <c r="A1498" s="57"/>
      <c r="B1498" s="57"/>
      <c r="C1498" s="57"/>
      <c r="D1498" s="57"/>
      <c r="E1498" s="57"/>
      <c r="F1498" s="985"/>
      <c r="G1498" s="57"/>
      <c r="H1498" s="57"/>
      <c r="I1498" s="990"/>
      <c r="J1498" s="57"/>
      <c r="K1498" s="57"/>
      <c r="L1498" s="57"/>
      <c r="M1498" s="57"/>
      <c r="N1498" s="57"/>
      <c r="O1498" s="57"/>
      <c r="P1498" s="57"/>
      <c r="Q1498" s="57"/>
      <c r="R1498" s="57"/>
      <c r="S1498" s="57"/>
      <c r="T1498" s="57"/>
      <c r="U1498" s="57"/>
      <c r="V1498" s="57"/>
      <c r="W1498" s="57"/>
      <c r="X1498" s="57"/>
      <c r="Y1498" s="57"/>
      <c r="Z1498" s="57"/>
      <c r="AA1498" s="57"/>
      <c r="AB1498" s="57"/>
      <c r="AC1498" s="57"/>
      <c r="AD1498" s="57"/>
      <c r="AE1498" s="57"/>
      <c r="AF1498" s="57"/>
    </row>
    <row r="1499" spans="1:32" x14ac:dyDescent="0.2">
      <c r="A1499" s="57"/>
      <c r="B1499" s="57"/>
      <c r="C1499" s="57"/>
      <c r="D1499" s="57"/>
      <c r="E1499" s="57"/>
      <c r="F1499" s="985"/>
      <c r="G1499" s="57"/>
      <c r="H1499" s="57"/>
      <c r="I1499" s="990"/>
      <c r="J1499" s="57"/>
      <c r="K1499" s="57"/>
      <c r="L1499" s="57"/>
      <c r="M1499" s="57"/>
      <c r="N1499" s="57"/>
      <c r="O1499" s="57"/>
      <c r="P1499" s="57"/>
      <c r="Q1499" s="57"/>
      <c r="R1499" s="57"/>
      <c r="S1499" s="57"/>
      <c r="T1499" s="57"/>
      <c r="U1499" s="57"/>
      <c r="V1499" s="57"/>
      <c r="W1499" s="57"/>
      <c r="X1499" s="57"/>
      <c r="Y1499" s="57"/>
      <c r="Z1499" s="57"/>
      <c r="AA1499" s="57"/>
      <c r="AB1499" s="57"/>
      <c r="AC1499" s="57"/>
      <c r="AD1499" s="57"/>
      <c r="AE1499" s="57"/>
      <c r="AF1499" s="57"/>
    </row>
    <row r="1500" spans="1:32" x14ac:dyDescent="0.2">
      <c r="A1500" s="57"/>
      <c r="B1500" s="57"/>
      <c r="C1500" s="57"/>
      <c r="D1500" s="57"/>
      <c r="E1500" s="57"/>
      <c r="F1500" s="985"/>
      <c r="G1500" s="57"/>
      <c r="H1500" s="57"/>
      <c r="I1500" s="990"/>
      <c r="J1500" s="57"/>
      <c r="K1500" s="57"/>
      <c r="L1500" s="57"/>
      <c r="M1500" s="57"/>
      <c r="N1500" s="57"/>
      <c r="O1500" s="57"/>
      <c r="P1500" s="57"/>
      <c r="Q1500" s="57"/>
      <c r="R1500" s="57"/>
      <c r="S1500" s="57"/>
      <c r="T1500" s="57"/>
      <c r="U1500" s="57"/>
      <c r="V1500" s="57"/>
      <c r="W1500" s="57"/>
      <c r="X1500" s="57"/>
      <c r="Y1500" s="57"/>
      <c r="Z1500" s="57"/>
      <c r="AA1500" s="57"/>
      <c r="AB1500" s="57"/>
      <c r="AC1500" s="57"/>
      <c r="AD1500" s="57"/>
      <c r="AE1500" s="57"/>
      <c r="AF1500" s="57"/>
    </row>
    <row r="1501" spans="1:32" x14ac:dyDescent="0.2">
      <c r="A1501" s="57"/>
      <c r="B1501" s="57"/>
      <c r="C1501" s="57"/>
      <c r="D1501" s="57"/>
      <c r="E1501" s="57"/>
      <c r="F1501" s="985"/>
      <c r="G1501" s="57"/>
      <c r="H1501" s="57"/>
      <c r="I1501" s="990"/>
      <c r="J1501" s="57"/>
      <c r="K1501" s="57"/>
      <c r="L1501" s="57"/>
      <c r="M1501" s="57"/>
      <c r="N1501" s="57"/>
      <c r="O1501" s="57"/>
      <c r="P1501" s="57"/>
      <c r="Q1501" s="57"/>
      <c r="R1501" s="57"/>
      <c r="S1501" s="57"/>
      <c r="T1501" s="57"/>
      <c r="U1501" s="57"/>
      <c r="V1501" s="57"/>
      <c r="W1501" s="57"/>
      <c r="X1501" s="57"/>
      <c r="Y1501" s="57"/>
      <c r="Z1501" s="57"/>
      <c r="AA1501" s="57"/>
      <c r="AB1501" s="57"/>
      <c r="AC1501" s="57"/>
      <c r="AD1501" s="57"/>
      <c r="AE1501" s="57"/>
      <c r="AF1501" s="57"/>
    </row>
    <row r="1502" spans="1:32" x14ac:dyDescent="0.2">
      <c r="A1502" s="57"/>
      <c r="B1502" s="57"/>
      <c r="C1502" s="57"/>
      <c r="D1502" s="57"/>
      <c r="E1502" s="57"/>
      <c r="F1502" s="985"/>
      <c r="G1502" s="57"/>
      <c r="H1502" s="57"/>
      <c r="I1502" s="990"/>
      <c r="J1502" s="57"/>
      <c r="K1502" s="57"/>
      <c r="L1502" s="57"/>
      <c r="M1502" s="57"/>
      <c r="N1502" s="57"/>
      <c r="O1502" s="57"/>
      <c r="P1502" s="57"/>
      <c r="Q1502" s="57"/>
      <c r="R1502" s="57"/>
      <c r="S1502" s="57"/>
      <c r="T1502" s="57"/>
      <c r="U1502" s="57"/>
      <c r="V1502" s="57"/>
      <c r="W1502" s="57"/>
      <c r="X1502" s="57"/>
      <c r="Y1502" s="57"/>
      <c r="Z1502" s="57"/>
      <c r="AA1502" s="57"/>
      <c r="AB1502" s="57"/>
      <c r="AC1502" s="57"/>
      <c r="AD1502" s="57"/>
      <c r="AE1502" s="57"/>
      <c r="AF1502" s="57"/>
    </row>
    <row r="1503" spans="1:32" x14ac:dyDescent="0.2">
      <c r="A1503" s="57"/>
      <c r="B1503" s="57"/>
      <c r="C1503" s="57"/>
      <c r="D1503" s="57"/>
      <c r="E1503" s="57"/>
      <c r="F1503" s="985"/>
      <c r="G1503" s="57"/>
      <c r="H1503" s="57"/>
      <c r="I1503" s="990"/>
      <c r="J1503" s="57"/>
      <c r="K1503" s="57"/>
      <c r="L1503" s="57"/>
      <c r="M1503" s="57"/>
      <c r="N1503" s="57"/>
      <c r="O1503" s="57"/>
      <c r="P1503" s="57"/>
      <c r="Q1503" s="57"/>
      <c r="R1503" s="57"/>
      <c r="S1503" s="57"/>
      <c r="T1503" s="57"/>
      <c r="U1503" s="57"/>
      <c r="V1503" s="57"/>
      <c r="W1503" s="57"/>
      <c r="X1503" s="57"/>
      <c r="Y1503" s="57"/>
      <c r="Z1503" s="57"/>
      <c r="AA1503" s="57"/>
      <c r="AB1503" s="57"/>
      <c r="AC1503" s="57"/>
      <c r="AD1503" s="57"/>
      <c r="AE1503" s="57"/>
      <c r="AF1503" s="57"/>
    </row>
    <row r="1504" spans="1:32" x14ac:dyDescent="0.2">
      <c r="A1504" s="57"/>
      <c r="B1504" s="57"/>
      <c r="C1504" s="57"/>
      <c r="D1504" s="57"/>
      <c r="E1504" s="57"/>
      <c r="F1504" s="985"/>
      <c r="G1504" s="57"/>
      <c r="H1504" s="57"/>
      <c r="I1504" s="990"/>
      <c r="J1504" s="57"/>
      <c r="K1504" s="57"/>
      <c r="L1504" s="57"/>
      <c r="M1504" s="57"/>
      <c r="N1504" s="57"/>
      <c r="O1504" s="57"/>
      <c r="P1504" s="57"/>
      <c r="Q1504" s="57"/>
      <c r="R1504" s="57"/>
      <c r="S1504" s="57"/>
      <c r="T1504" s="57"/>
      <c r="U1504" s="57"/>
      <c r="V1504" s="57"/>
      <c r="W1504" s="57"/>
      <c r="X1504" s="57"/>
      <c r="Y1504" s="57"/>
      <c r="Z1504" s="57"/>
      <c r="AA1504" s="57"/>
      <c r="AB1504" s="57"/>
      <c r="AC1504" s="57"/>
      <c r="AD1504" s="57"/>
      <c r="AE1504" s="57"/>
      <c r="AF1504" s="57"/>
    </row>
    <row r="1505" spans="1:32" x14ac:dyDescent="0.2">
      <c r="A1505" s="57"/>
      <c r="B1505" s="57"/>
      <c r="C1505" s="57"/>
      <c r="D1505" s="57"/>
      <c r="E1505" s="57"/>
      <c r="F1505" s="985"/>
      <c r="G1505" s="57"/>
      <c r="H1505" s="57"/>
      <c r="I1505" s="990"/>
      <c r="J1505" s="57"/>
      <c r="K1505" s="57"/>
      <c r="L1505" s="57"/>
      <c r="M1505" s="57"/>
      <c r="N1505" s="57"/>
      <c r="O1505" s="57"/>
      <c r="P1505" s="57"/>
      <c r="Q1505" s="57"/>
      <c r="R1505" s="57"/>
      <c r="S1505" s="57"/>
      <c r="T1505" s="57"/>
      <c r="U1505" s="57"/>
      <c r="V1505" s="57"/>
      <c r="W1505" s="57"/>
      <c r="X1505" s="57"/>
      <c r="Y1505" s="57"/>
      <c r="Z1505" s="57"/>
      <c r="AA1505" s="57"/>
      <c r="AB1505" s="57"/>
      <c r="AC1505" s="57"/>
      <c r="AD1505" s="57"/>
      <c r="AE1505" s="57"/>
      <c r="AF1505" s="57"/>
    </row>
    <row r="1506" spans="1:32" x14ac:dyDescent="0.2">
      <c r="A1506" s="57"/>
      <c r="B1506" s="57"/>
      <c r="C1506" s="57"/>
      <c r="D1506" s="57"/>
      <c r="E1506" s="57"/>
      <c r="F1506" s="985"/>
      <c r="G1506" s="57"/>
      <c r="H1506" s="57"/>
      <c r="I1506" s="990"/>
      <c r="J1506" s="57"/>
      <c r="K1506" s="57"/>
      <c r="L1506" s="57"/>
      <c r="M1506" s="57"/>
      <c r="N1506" s="57"/>
      <c r="O1506" s="57"/>
      <c r="P1506" s="57"/>
      <c r="Q1506" s="57"/>
      <c r="R1506" s="57"/>
      <c r="S1506" s="57"/>
      <c r="T1506" s="57"/>
      <c r="U1506" s="57"/>
      <c r="V1506" s="57"/>
      <c r="W1506" s="57"/>
      <c r="X1506" s="57"/>
      <c r="Y1506" s="57"/>
      <c r="Z1506" s="57"/>
      <c r="AA1506" s="57"/>
      <c r="AB1506" s="57"/>
      <c r="AC1506" s="57"/>
      <c r="AD1506" s="57"/>
      <c r="AE1506" s="57"/>
      <c r="AF1506" s="57"/>
    </row>
    <row r="1507" spans="1:32" x14ac:dyDescent="0.2">
      <c r="A1507" s="57"/>
      <c r="B1507" s="57"/>
      <c r="C1507" s="57"/>
      <c r="D1507" s="57"/>
      <c r="E1507" s="57"/>
      <c r="F1507" s="985"/>
      <c r="G1507" s="57"/>
      <c r="H1507" s="57"/>
      <c r="I1507" s="990"/>
      <c r="J1507" s="57"/>
      <c r="K1507" s="57"/>
      <c r="L1507" s="57"/>
      <c r="M1507" s="57"/>
      <c r="N1507" s="57"/>
      <c r="O1507" s="57"/>
      <c r="P1507" s="57"/>
      <c r="Q1507" s="57"/>
      <c r="R1507" s="57"/>
      <c r="S1507" s="57"/>
      <c r="T1507" s="57"/>
      <c r="U1507" s="57"/>
      <c r="V1507" s="57"/>
      <c r="W1507" s="57"/>
      <c r="X1507" s="57"/>
      <c r="Y1507" s="57"/>
      <c r="Z1507" s="57"/>
      <c r="AA1507" s="57"/>
      <c r="AB1507" s="57"/>
      <c r="AC1507" s="57"/>
      <c r="AD1507" s="57"/>
      <c r="AE1507" s="57"/>
      <c r="AF1507" s="57"/>
    </row>
    <row r="1508" spans="1:32" x14ac:dyDescent="0.2">
      <c r="A1508" s="57"/>
      <c r="B1508" s="57"/>
      <c r="C1508" s="57"/>
      <c r="D1508" s="57"/>
      <c r="E1508" s="57"/>
      <c r="F1508" s="985"/>
      <c r="G1508" s="57"/>
      <c r="H1508" s="57"/>
      <c r="I1508" s="990"/>
      <c r="J1508" s="57"/>
      <c r="K1508" s="57"/>
      <c r="L1508" s="57"/>
      <c r="M1508" s="57"/>
      <c r="N1508" s="57"/>
      <c r="O1508" s="57"/>
      <c r="P1508" s="57"/>
      <c r="Q1508" s="57"/>
      <c r="R1508" s="57"/>
      <c r="S1508" s="57"/>
      <c r="T1508" s="57"/>
      <c r="U1508" s="57"/>
      <c r="V1508" s="57"/>
      <c r="W1508" s="57"/>
      <c r="X1508" s="57"/>
      <c r="Y1508" s="57"/>
      <c r="Z1508" s="57"/>
      <c r="AA1508" s="57"/>
      <c r="AB1508" s="57"/>
      <c r="AC1508" s="57"/>
      <c r="AD1508" s="57"/>
      <c r="AE1508" s="57"/>
      <c r="AF1508" s="57"/>
    </row>
    <row r="1509" spans="1:32" x14ac:dyDescent="0.2">
      <c r="A1509" s="57"/>
      <c r="B1509" s="57"/>
      <c r="C1509" s="57"/>
      <c r="D1509" s="57"/>
      <c r="E1509" s="57"/>
      <c r="F1509" s="985"/>
      <c r="G1509" s="57"/>
      <c r="H1509" s="57"/>
      <c r="I1509" s="990"/>
      <c r="J1509" s="57"/>
      <c r="K1509" s="57"/>
      <c r="L1509" s="57"/>
      <c r="M1509" s="57"/>
      <c r="N1509" s="57"/>
      <c r="O1509" s="57"/>
      <c r="P1509" s="57"/>
      <c r="Q1509" s="57"/>
      <c r="R1509" s="57"/>
      <c r="S1509" s="57"/>
      <c r="T1509" s="57"/>
      <c r="U1509" s="57"/>
      <c r="V1509" s="57"/>
      <c r="W1509" s="57"/>
      <c r="X1509" s="57"/>
      <c r="Y1509" s="57"/>
      <c r="Z1509" s="57"/>
      <c r="AA1509" s="57"/>
      <c r="AB1509" s="57"/>
      <c r="AC1509" s="57"/>
      <c r="AD1509" s="57"/>
      <c r="AE1509" s="57"/>
      <c r="AF1509" s="57"/>
    </row>
    <row r="1510" spans="1:32" x14ac:dyDescent="0.2">
      <c r="A1510" s="57"/>
      <c r="B1510" s="57"/>
      <c r="C1510" s="57"/>
      <c r="D1510" s="57"/>
      <c r="E1510" s="57"/>
      <c r="F1510" s="985"/>
      <c r="G1510" s="57"/>
      <c r="H1510" s="57"/>
      <c r="I1510" s="990"/>
      <c r="J1510" s="57"/>
      <c r="K1510" s="57"/>
      <c r="L1510" s="57"/>
      <c r="M1510" s="57"/>
      <c r="N1510" s="57"/>
      <c r="O1510" s="57"/>
      <c r="P1510" s="57"/>
      <c r="Q1510" s="57"/>
      <c r="R1510" s="57"/>
      <c r="S1510" s="57"/>
      <c r="T1510" s="57"/>
      <c r="U1510" s="57"/>
      <c r="V1510" s="57"/>
      <c r="W1510" s="57"/>
      <c r="X1510" s="57"/>
      <c r="Y1510" s="57"/>
      <c r="Z1510" s="57"/>
      <c r="AA1510" s="57"/>
      <c r="AB1510" s="57"/>
      <c r="AC1510" s="57"/>
      <c r="AD1510" s="57"/>
      <c r="AE1510" s="57"/>
      <c r="AF1510" s="57"/>
    </row>
    <row r="1511" spans="1:32" x14ac:dyDescent="0.2">
      <c r="A1511" s="57"/>
      <c r="B1511" s="57"/>
      <c r="C1511" s="57"/>
      <c r="D1511" s="57"/>
      <c r="E1511" s="57"/>
      <c r="F1511" s="985"/>
      <c r="G1511" s="57"/>
      <c r="H1511" s="57"/>
      <c r="I1511" s="990"/>
      <c r="J1511" s="57"/>
      <c r="K1511" s="57"/>
      <c r="L1511" s="57"/>
      <c r="M1511" s="57"/>
      <c r="N1511" s="57"/>
      <c r="O1511" s="57"/>
      <c r="P1511" s="57"/>
      <c r="Q1511" s="57"/>
      <c r="R1511" s="57"/>
      <c r="S1511" s="57"/>
      <c r="T1511" s="57"/>
      <c r="U1511" s="57"/>
      <c r="V1511" s="57"/>
      <c r="W1511" s="57"/>
      <c r="X1511" s="57"/>
      <c r="Y1511" s="57"/>
      <c r="Z1511" s="57"/>
      <c r="AA1511" s="57"/>
      <c r="AB1511" s="57"/>
      <c r="AC1511" s="57"/>
      <c r="AD1511" s="57"/>
      <c r="AE1511" s="57"/>
      <c r="AF1511" s="57"/>
    </row>
    <row r="1512" spans="1:32" x14ac:dyDescent="0.2">
      <c r="A1512" s="57"/>
      <c r="B1512" s="57"/>
      <c r="C1512" s="57"/>
      <c r="D1512" s="57"/>
      <c r="E1512" s="57"/>
      <c r="F1512" s="985"/>
      <c r="G1512" s="57"/>
      <c r="H1512" s="57"/>
      <c r="I1512" s="990"/>
      <c r="J1512" s="57"/>
      <c r="K1512" s="57"/>
      <c r="L1512" s="57"/>
      <c r="M1512" s="57"/>
      <c r="N1512" s="57"/>
      <c r="O1512" s="57"/>
      <c r="P1512" s="57"/>
      <c r="Q1512" s="57"/>
      <c r="R1512" s="57"/>
      <c r="S1512" s="57"/>
      <c r="T1512" s="57"/>
      <c r="U1512" s="57"/>
      <c r="V1512" s="57"/>
      <c r="W1512" s="57"/>
      <c r="X1512" s="57"/>
      <c r="Y1512" s="57"/>
      <c r="Z1512" s="57"/>
      <c r="AA1512" s="57"/>
      <c r="AB1512" s="57"/>
      <c r="AC1512" s="57"/>
      <c r="AD1512" s="57"/>
      <c r="AE1512" s="57"/>
      <c r="AF1512" s="57"/>
    </row>
    <row r="1513" spans="1:32" x14ac:dyDescent="0.2">
      <c r="A1513" s="57"/>
      <c r="B1513" s="57"/>
      <c r="C1513" s="57"/>
      <c r="D1513" s="57"/>
      <c r="E1513" s="57"/>
      <c r="F1513" s="985"/>
      <c r="G1513" s="57"/>
      <c r="H1513" s="57"/>
      <c r="I1513" s="990"/>
      <c r="J1513" s="57"/>
      <c r="K1513" s="57"/>
      <c r="L1513" s="57"/>
      <c r="M1513" s="57"/>
      <c r="N1513" s="57"/>
      <c r="O1513" s="57"/>
      <c r="P1513" s="57"/>
      <c r="Q1513" s="57"/>
      <c r="R1513" s="57"/>
      <c r="S1513" s="57"/>
      <c r="T1513" s="57"/>
      <c r="U1513" s="57"/>
      <c r="V1513" s="57"/>
      <c r="W1513" s="57"/>
      <c r="X1513" s="57"/>
      <c r="Y1513" s="57"/>
      <c r="Z1513" s="57"/>
      <c r="AA1513" s="57"/>
      <c r="AB1513" s="57"/>
      <c r="AC1513" s="57"/>
      <c r="AD1513" s="57"/>
      <c r="AE1513" s="57"/>
      <c r="AF1513" s="57"/>
    </row>
    <row r="1514" spans="1:32" x14ac:dyDescent="0.2">
      <c r="A1514" s="57"/>
      <c r="B1514" s="57"/>
      <c r="C1514" s="57"/>
      <c r="D1514" s="57"/>
      <c r="E1514" s="57"/>
      <c r="F1514" s="985"/>
      <c r="G1514" s="57"/>
      <c r="H1514" s="57"/>
      <c r="I1514" s="990"/>
      <c r="J1514" s="57"/>
      <c r="K1514" s="57"/>
      <c r="L1514" s="57"/>
      <c r="M1514" s="57"/>
      <c r="N1514" s="57"/>
      <c r="O1514" s="57"/>
      <c r="P1514" s="57"/>
      <c r="Q1514" s="57"/>
      <c r="R1514" s="57"/>
      <c r="S1514" s="57"/>
      <c r="T1514" s="57"/>
      <c r="U1514" s="57"/>
      <c r="V1514" s="57"/>
      <c r="W1514" s="57"/>
      <c r="X1514" s="57"/>
      <c r="Y1514" s="57"/>
      <c r="Z1514" s="57"/>
      <c r="AA1514" s="57"/>
      <c r="AB1514" s="57"/>
      <c r="AC1514" s="57"/>
      <c r="AD1514" s="57"/>
      <c r="AE1514" s="57"/>
      <c r="AF1514" s="57"/>
    </row>
    <row r="1515" spans="1:32" x14ac:dyDescent="0.2">
      <c r="A1515" s="57"/>
      <c r="B1515" s="57"/>
      <c r="C1515" s="57"/>
      <c r="D1515" s="57"/>
      <c r="E1515" s="57"/>
      <c r="F1515" s="985"/>
      <c r="G1515" s="57"/>
      <c r="H1515" s="57"/>
      <c r="I1515" s="990"/>
      <c r="J1515" s="57"/>
      <c r="K1515" s="57"/>
      <c r="L1515" s="57"/>
      <c r="M1515" s="57"/>
      <c r="N1515" s="57"/>
      <c r="O1515" s="57"/>
      <c r="P1515" s="57"/>
      <c r="Q1515" s="57"/>
      <c r="R1515" s="57"/>
      <c r="S1515" s="57"/>
      <c r="T1515" s="57"/>
      <c r="U1515" s="57"/>
      <c r="V1515" s="57"/>
      <c r="W1515" s="57"/>
      <c r="X1515" s="57"/>
      <c r="Y1515" s="57"/>
      <c r="Z1515" s="57"/>
      <c r="AA1515" s="57"/>
      <c r="AB1515" s="57"/>
      <c r="AC1515" s="57"/>
      <c r="AD1515" s="57"/>
      <c r="AE1515" s="57"/>
      <c r="AF1515" s="57"/>
    </row>
    <row r="1516" spans="1:32" x14ac:dyDescent="0.2">
      <c r="A1516" s="57"/>
      <c r="B1516" s="57"/>
      <c r="C1516" s="57"/>
      <c r="D1516" s="57"/>
      <c r="E1516" s="57"/>
      <c r="F1516" s="985"/>
      <c r="G1516" s="57"/>
      <c r="H1516" s="57"/>
      <c r="I1516" s="990"/>
      <c r="J1516" s="57"/>
      <c r="K1516" s="57"/>
      <c r="L1516" s="57"/>
      <c r="M1516" s="57"/>
      <c r="N1516" s="57"/>
      <c r="O1516" s="57"/>
      <c r="P1516" s="57"/>
      <c r="Q1516" s="57"/>
      <c r="R1516" s="57"/>
      <c r="S1516" s="57"/>
      <c r="T1516" s="57"/>
      <c r="U1516" s="57"/>
      <c r="V1516" s="57"/>
      <c r="W1516" s="57"/>
      <c r="X1516" s="57"/>
      <c r="Y1516" s="57"/>
      <c r="Z1516" s="57"/>
      <c r="AA1516" s="57"/>
      <c r="AB1516" s="57"/>
      <c r="AC1516" s="57"/>
      <c r="AD1516" s="57"/>
      <c r="AE1516" s="57"/>
      <c r="AF1516" s="57"/>
    </row>
    <row r="1517" spans="1:32" x14ac:dyDescent="0.2">
      <c r="A1517" s="57"/>
      <c r="B1517" s="57"/>
      <c r="C1517" s="57"/>
      <c r="D1517" s="57"/>
      <c r="E1517" s="57"/>
      <c r="F1517" s="985"/>
      <c r="G1517" s="57"/>
      <c r="H1517" s="57"/>
      <c r="I1517" s="990"/>
      <c r="J1517" s="57"/>
      <c r="K1517" s="57"/>
      <c r="L1517" s="57"/>
      <c r="M1517" s="57"/>
      <c r="N1517" s="57"/>
      <c r="O1517" s="57"/>
      <c r="P1517" s="57"/>
      <c r="Q1517" s="57"/>
      <c r="R1517" s="57"/>
      <c r="S1517" s="57"/>
      <c r="T1517" s="57"/>
      <c r="U1517" s="57"/>
      <c r="V1517" s="57"/>
      <c r="W1517" s="57"/>
      <c r="X1517" s="57"/>
      <c r="Y1517" s="57"/>
      <c r="Z1517" s="57"/>
      <c r="AA1517" s="57"/>
      <c r="AB1517" s="57"/>
      <c r="AC1517" s="57"/>
      <c r="AD1517" s="57"/>
      <c r="AE1517" s="57"/>
      <c r="AF1517" s="57"/>
    </row>
    <row r="1518" spans="1:32" x14ac:dyDescent="0.2">
      <c r="A1518" s="57"/>
      <c r="B1518" s="57"/>
      <c r="C1518" s="57"/>
      <c r="D1518" s="57"/>
      <c r="E1518" s="57"/>
      <c r="F1518" s="985"/>
      <c r="G1518" s="57"/>
      <c r="H1518" s="57"/>
      <c r="I1518" s="990"/>
      <c r="J1518" s="57"/>
      <c r="K1518" s="57"/>
      <c r="L1518" s="57"/>
      <c r="M1518" s="57"/>
      <c r="N1518" s="57"/>
      <c r="O1518" s="57"/>
      <c r="P1518" s="57"/>
      <c r="Q1518" s="57"/>
      <c r="R1518" s="57"/>
      <c r="S1518" s="57"/>
      <c r="T1518" s="57"/>
      <c r="U1518" s="57"/>
      <c r="V1518" s="57"/>
      <c r="W1518" s="57"/>
      <c r="X1518" s="57"/>
      <c r="Y1518" s="57"/>
      <c r="Z1518" s="57"/>
      <c r="AA1518" s="57"/>
      <c r="AB1518" s="57"/>
      <c r="AC1518" s="57"/>
      <c r="AD1518" s="57"/>
      <c r="AE1518" s="57"/>
      <c r="AF1518" s="57"/>
    </row>
    <row r="1519" spans="1:32" x14ac:dyDescent="0.2">
      <c r="A1519" s="57"/>
      <c r="B1519" s="57"/>
      <c r="C1519" s="57"/>
      <c r="D1519" s="57"/>
      <c r="E1519" s="57"/>
      <c r="F1519" s="985"/>
      <c r="G1519" s="57"/>
      <c r="H1519" s="57"/>
      <c r="I1519" s="990"/>
      <c r="J1519" s="57"/>
      <c r="K1519" s="57"/>
      <c r="L1519" s="57"/>
      <c r="M1519" s="57"/>
      <c r="N1519" s="57"/>
      <c r="O1519" s="57"/>
      <c r="P1519" s="57"/>
      <c r="Q1519" s="57"/>
      <c r="R1519" s="57"/>
      <c r="S1519" s="57"/>
      <c r="T1519" s="57"/>
      <c r="U1519" s="57"/>
      <c r="V1519" s="57"/>
      <c r="W1519" s="57"/>
      <c r="X1519" s="57"/>
      <c r="Y1519" s="57"/>
      <c r="Z1519" s="57"/>
      <c r="AA1519" s="57"/>
      <c r="AB1519" s="57"/>
      <c r="AC1519" s="57"/>
      <c r="AD1519" s="57"/>
      <c r="AE1519" s="57"/>
      <c r="AF1519" s="57"/>
    </row>
    <row r="1520" spans="1:32" x14ac:dyDescent="0.2">
      <c r="A1520" s="57"/>
      <c r="B1520" s="57"/>
      <c r="C1520" s="57"/>
      <c r="D1520" s="57"/>
      <c r="E1520" s="57"/>
      <c r="F1520" s="985"/>
      <c r="G1520" s="57"/>
      <c r="H1520" s="57"/>
      <c r="I1520" s="990"/>
      <c r="J1520" s="57"/>
      <c r="K1520" s="57"/>
      <c r="L1520" s="57"/>
      <c r="M1520" s="57"/>
      <c r="N1520" s="57"/>
      <c r="O1520" s="57"/>
      <c r="P1520" s="57"/>
      <c r="Q1520" s="57"/>
      <c r="R1520" s="57"/>
      <c r="S1520" s="57"/>
      <c r="T1520" s="57"/>
      <c r="U1520" s="57"/>
      <c r="V1520" s="57"/>
      <c r="W1520" s="57"/>
      <c r="X1520" s="57"/>
      <c r="Y1520" s="57"/>
      <c r="Z1520" s="57"/>
      <c r="AA1520" s="57"/>
      <c r="AB1520" s="57"/>
      <c r="AC1520" s="57"/>
      <c r="AD1520" s="57"/>
      <c r="AE1520" s="57"/>
      <c r="AF1520" s="57"/>
    </row>
    <row r="1521" spans="1:32" x14ac:dyDescent="0.2">
      <c r="A1521" s="57"/>
      <c r="B1521" s="57"/>
      <c r="C1521" s="57"/>
      <c r="D1521" s="57"/>
      <c r="E1521" s="57"/>
      <c r="F1521" s="985"/>
      <c r="G1521" s="57"/>
      <c r="H1521" s="57"/>
      <c r="I1521" s="990"/>
      <c r="J1521" s="57"/>
      <c r="K1521" s="57"/>
      <c r="L1521" s="57"/>
      <c r="M1521" s="57"/>
      <c r="N1521" s="57"/>
      <c r="O1521" s="57"/>
      <c r="P1521" s="57"/>
      <c r="Q1521" s="57"/>
      <c r="R1521" s="57"/>
      <c r="S1521" s="57"/>
      <c r="T1521" s="57"/>
      <c r="U1521" s="57"/>
      <c r="V1521" s="57"/>
      <c r="W1521" s="57"/>
      <c r="X1521" s="57"/>
      <c r="Y1521" s="57"/>
      <c r="Z1521" s="57"/>
      <c r="AA1521" s="57"/>
      <c r="AB1521" s="57"/>
      <c r="AC1521" s="57"/>
      <c r="AD1521" s="57"/>
      <c r="AE1521" s="57"/>
      <c r="AF1521" s="57"/>
    </row>
    <row r="1522" spans="1:32" x14ac:dyDescent="0.2">
      <c r="A1522" s="57"/>
      <c r="B1522" s="57"/>
      <c r="C1522" s="57"/>
      <c r="D1522" s="57"/>
      <c r="E1522" s="57"/>
      <c r="F1522" s="985"/>
      <c r="G1522" s="57"/>
      <c r="H1522" s="57"/>
      <c r="I1522" s="990"/>
      <c r="J1522" s="57"/>
      <c r="K1522" s="57"/>
      <c r="L1522" s="57"/>
      <c r="M1522" s="57"/>
      <c r="N1522" s="57"/>
      <c r="O1522" s="57"/>
      <c r="P1522" s="57"/>
      <c r="Q1522" s="57"/>
      <c r="R1522" s="57"/>
      <c r="S1522" s="57"/>
      <c r="T1522" s="57"/>
      <c r="U1522" s="57"/>
      <c r="V1522" s="57"/>
      <c r="W1522" s="57"/>
      <c r="X1522" s="57"/>
      <c r="Y1522" s="57"/>
      <c r="Z1522" s="57"/>
      <c r="AA1522" s="57"/>
      <c r="AB1522" s="57"/>
      <c r="AC1522" s="57"/>
      <c r="AD1522" s="57"/>
      <c r="AE1522" s="57"/>
      <c r="AF1522" s="57"/>
    </row>
    <row r="1523" spans="1:32" x14ac:dyDescent="0.2">
      <c r="A1523" s="57"/>
      <c r="B1523" s="57"/>
      <c r="C1523" s="57"/>
      <c r="D1523" s="57"/>
      <c r="E1523" s="57"/>
      <c r="F1523" s="985"/>
      <c r="G1523" s="57"/>
      <c r="H1523" s="57"/>
      <c r="I1523" s="990"/>
      <c r="J1523" s="57"/>
      <c r="K1523" s="57"/>
      <c r="L1523" s="57"/>
      <c r="M1523" s="57"/>
      <c r="N1523" s="57"/>
      <c r="O1523" s="57"/>
      <c r="P1523" s="57"/>
      <c r="Q1523" s="57"/>
      <c r="R1523" s="57"/>
      <c r="S1523" s="57"/>
      <c r="T1523" s="57"/>
      <c r="U1523" s="57"/>
      <c r="V1523" s="57"/>
      <c r="W1523" s="57"/>
      <c r="X1523" s="57"/>
      <c r="Y1523" s="57"/>
      <c r="Z1523" s="57"/>
      <c r="AA1523" s="57"/>
      <c r="AB1523" s="57"/>
      <c r="AC1523" s="57"/>
      <c r="AD1523" s="57"/>
      <c r="AE1523" s="57"/>
      <c r="AF1523" s="57"/>
    </row>
    <row r="1524" spans="1:32" x14ac:dyDescent="0.2">
      <c r="A1524" s="57"/>
      <c r="B1524" s="57"/>
      <c r="C1524" s="57"/>
      <c r="D1524" s="57"/>
      <c r="E1524" s="57"/>
      <c r="F1524" s="985"/>
      <c r="G1524" s="57"/>
      <c r="H1524" s="57"/>
      <c r="I1524" s="990"/>
      <c r="J1524" s="57"/>
      <c r="K1524" s="57"/>
      <c r="L1524" s="57"/>
      <c r="M1524" s="57"/>
      <c r="N1524" s="57"/>
      <c r="O1524" s="57"/>
      <c r="P1524" s="57"/>
      <c r="Q1524" s="57"/>
      <c r="R1524" s="57"/>
      <c r="S1524" s="57"/>
      <c r="T1524" s="57"/>
      <c r="U1524" s="57"/>
      <c r="V1524" s="57"/>
      <c r="W1524" s="57"/>
      <c r="X1524" s="57"/>
      <c r="Y1524" s="57"/>
      <c r="Z1524" s="57"/>
      <c r="AA1524" s="57"/>
      <c r="AB1524" s="57"/>
      <c r="AC1524" s="57"/>
      <c r="AD1524" s="57"/>
      <c r="AE1524" s="57"/>
      <c r="AF1524" s="57"/>
    </row>
    <row r="1525" spans="1:32" x14ac:dyDescent="0.2">
      <c r="A1525" s="57"/>
      <c r="B1525" s="57"/>
      <c r="C1525" s="57"/>
      <c r="D1525" s="57"/>
      <c r="E1525" s="57"/>
      <c r="F1525" s="985"/>
      <c r="G1525" s="57"/>
      <c r="H1525" s="57"/>
      <c r="I1525" s="990"/>
      <c r="J1525" s="57"/>
      <c r="K1525" s="57"/>
      <c r="L1525" s="57"/>
      <c r="M1525" s="57"/>
      <c r="N1525" s="57"/>
      <c r="O1525" s="57"/>
      <c r="P1525" s="57"/>
      <c r="Q1525" s="57"/>
      <c r="R1525" s="57"/>
      <c r="S1525" s="57"/>
      <c r="T1525" s="57"/>
      <c r="U1525" s="57"/>
      <c r="V1525" s="57"/>
      <c r="W1525" s="57"/>
      <c r="X1525" s="57"/>
      <c r="Y1525" s="57"/>
      <c r="Z1525" s="57"/>
      <c r="AA1525" s="57"/>
      <c r="AB1525" s="57"/>
      <c r="AC1525" s="57"/>
      <c r="AD1525" s="57"/>
      <c r="AE1525" s="57"/>
      <c r="AF1525" s="57"/>
    </row>
    <row r="1526" spans="1:32" x14ac:dyDescent="0.2">
      <c r="A1526" s="57"/>
      <c r="B1526" s="57"/>
      <c r="C1526" s="57"/>
      <c r="D1526" s="57"/>
      <c r="E1526" s="57"/>
      <c r="F1526" s="985"/>
      <c r="G1526" s="57"/>
      <c r="H1526" s="57"/>
      <c r="I1526" s="990"/>
      <c r="J1526" s="57"/>
      <c r="K1526" s="57"/>
      <c r="L1526" s="57"/>
      <c r="M1526" s="57"/>
      <c r="N1526" s="57"/>
      <c r="O1526" s="57"/>
      <c r="P1526" s="57"/>
      <c r="Q1526" s="57"/>
      <c r="R1526" s="57"/>
      <c r="S1526" s="57"/>
      <c r="T1526" s="57"/>
      <c r="U1526" s="57"/>
      <c r="V1526" s="57"/>
      <c r="W1526" s="57"/>
      <c r="X1526" s="57"/>
      <c r="Y1526" s="57"/>
      <c r="Z1526" s="57"/>
      <c r="AA1526" s="57"/>
      <c r="AB1526" s="57"/>
      <c r="AC1526" s="57"/>
      <c r="AD1526" s="57"/>
      <c r="AE1526" s="57"/>
      <c r="AF1526" s="57"/>
    </row>
    <row r="1527" spans="1:32" x14ac:dyDescent="0.2">
      <c r="A1527" s="57"/>
      <c r="B1527" s="57"/>
      <c r="C1527" s="57"/>
      <c r="D1527" s="57"/>
      <c r="E1527" s="57"/>
      <c r="F1527" s="985"/>
      <c r="G1527" s="57"/>
      <c r="H1527" s="57"/>
      <c r="I1527" s="990"/>
      <c r="J1527" s="57"/>
      <c r="K1527" s="57"/>
      <c r="L1527" s="57"/>
      <c r="M1527" s="57"/>
      <c r="N1527" s="57"/>
      <c r="O1527" s="57"/>
      <c r="P1527" s="57"/>
      <c r="Q1527" s="57"/>
      <c r="R1527" s="57"/>
      <c r="S1527" s="57"/>
      <c r="T1527" s="57"/>
      <c r="U1527" s="57"/>
      <c r="V1527" s="57"/>
      <c r="W1527" s="57"/>
      <c r="X1527" s="57"/>
      <c r="Y1527" s="57"/>
      <c r="Z1527" s="57"/>
      <c r="AA1527" s="57"/>
      <c r="AB1527" s="57"/>
      <c r="AC1527" s="57"/>
      <c r="AD1527" s="57"/>
      <c r="AE1527" s="57"/>
      <c r="AF1527" s="57"/>
    </row>
    <row r="1528" spans="1:32" x14ac:dyDescent="0.2">
      <c r="A1528" s="57"/>
      <c r="B1528" s="57"/>
      <c r="C1528" s="57"/>
      <c r="D1528" s="57"/>
      <c r="E1528" s="57"/>
      <c r="F1528" s="985"/>
      <c r="G1528" s="57"/>
      <c r="H1528" s="57"/>
      <c r="I1528" s="990"/>
      <c r="J1528" s="57"/>
      <c r="K1528" s="57"/>
      <c r="L1528" s="57"/>
      <c r="M1528" s="57"/>
      <c r="N1528" s="57"/>
      <c r="O1528" s="57"/>
      <c r="P1528" s="57"/>
      <c r="Q1528" s="57"/>
      <c r="R1528" s="57"/>
      <c r="S1528" s="57"/>
      <c r="T1528" s="57"/>
      <c r="U1528" s="57"/>
      <c r="V1528" s="57"/>
      <c r="W1528" s="57"/>
      <c r="X1528" s="57"/>
      <c r="Y1528" s="57"/>
      <c r="Z1528" s="57"/>
      <c r="AA1528" s="57"/>
      <c r="AB1528" s="57"/>
      <c r="AC1528" s="57"/>
      <c r="AD1528" s="57"/>
      <c r="AE1528" s="57"/>
      <c r="AF1528" s="57"/>
    </row>
    <row r="1529" spans="1:32" x14ac:dyDescent="0.2">
      <c r="A1529" s="57"/>
      <c r="B1529" s="57"/>
      <c r="C1529" s="57"/>
      <c r="D1529" s="57"/>
      <c r="E1529" s="57"/>
      <c r="F1529" s="985"/>
      <c r="G1529" s="57"/>
      <c r="H1529" s="57"/>
      <c r="I1529" s="990"/>
      <c r="J1529" s="57"/>
      <c r="K1529" s="57"/>
      <c r="L1529" s="57"/>
      <c r="M1529" s="57"/>
      <c r="N1529" s="57"/>
      <c r="O1529" s="57"/>
      <c r="P1529" s="57"/>
      <c r="Q1529" s="57"/>
      <c r="R1529" s="57"/>
      <c r="S1529" s="57"/>
      <c r="T1529" s="57"/>
      <c r="U1529" s="57"/>
      <c r="V1529" s="57"/>
      <c r="W1529" s="57"/>
      <c r="X1529" s="57"/>
      <c r="Y1529" s="57"/>
      <c r="Z1529" s="57"/>
      <c r="AA1529" s="57"/>
      <c r="AB1529" s="57"/>
      <c r="AC1529" s="57"/>
      <c r="AD1529" s="57"/>
      <c r="AE1529" s="57"/>
      <c r="AF1529" s="57"/>
    </row>
    <row r="1530" spans="1:32" x14ac:dyDescent="0.2">
      <c r="A1530" s="57"/>
      <c r="B1530" s="57"/>
      <c r="C1530" s="57"/>
      <c r="D1530" s="57"/>
      <c r="E1530" s="57"/>
      <c r="F1530" s="985"/>
      <c r="G1530" s="57"/>
      <c r="H1530" s="57"/>
      <c r="I1530" s="990"/>
      <c r="J1530" s="57"/>
      <c r="K1530" s="57"/>
      <c r="L1530" s="57"/>
      <c r="M1530" s="57"/>
      <c r="N1530" s="57"/>
      <c r="O1530" s="57"/>
      <c r="P1530" s="57"/>
      <c r="Q1530" s="57"/>
      <c r="R1530" s="57"/>
      <c r="S1530" s="57"/>
      <c r="T1530" s="57"/>
      <c r="U1530" s="57"/>
      <c r="V1530" s="57"/>
      <c r="W1530" s="57"/>
      <c r="X1530" s="57"/>
      <c r="Y1530" s="57"/>
      <c r="Z1530" s="57"/>
      <c r="AA1530" s="57"/>
      <c r="AB1530" s="57"/>
      <c r="AC1530" s="57"/>
      <c r="AD1530" s="57"/>
      <c r="AE1530" s="57"/>
      <c r="AF1530" s="57"/>
    </row>
    <row r="1531" spans="1:32" x14ac:dyDescent="0.2">
      <c r="A1531" s="57"/>
      <c r="B1531" s="57"/>
      <c r="C1531" s="57"/>
      <c r="D1531" s="57"/>
      <c r="E1531" s="57"/>
      <c r="F1531" s="985"/>
      <c r="G1531" s="57"/>
      <c r="H1531" s="57"/>
      <c r="I1531" s="990"/>
      <c r="J1531" s="57"/>
      <c r="K1531" s="57"/>
      <c r="L1531" s="57"/>
      <c r="M1531" s="57"/>
      <c r="N1531" s="57"/>
      <c r="O1531" s="57"/>
      <c r="P1531" s="57"/>
      <c r="Q1531" s="57"/>
      <c r="R1531" s="57"/>
      <c r="S1531" s="57"/>
      <c r="T1531" s="57"/>
      <c r="U1531" s="57"/>
      <c r="V1531" s="57"/>
      <c r="W1531" s="57"/>
      <c r="X1531" s="57"/>
      <c r="Y1531" s="57"/>
      <c r="Z1531" s="57"/>
      <c r="AA1531" s="57"/>
      <c r="AB1531" s="57"/>
      <c r="AC1531" s="57"/>
      <c r="AD1531" s="57"/>
      <c r="AE1531" s="57"/>
      <c r="AF1531" s="57"/>
    </row>
    <row r="1532" spans="1:32" x14ac:dyDescent="0.2">
      <c r="A1532" s="57"/>
      <c r="B1532" s="57"/>
      <c r="C1532" s="57"/>
      <c r="D1532" s="57"/>
      <c r="E1532" s="57"/>
      <c r="F1532" s="985"/>
      <c r="G1532" s="57"/>
      <c r="H1532" s="57"/>
      <c r="I1532" s="990"/>
      <c r="J1532" s="57"/>
      <c r="K1532" s="57"/>
      <c r="L1532" s="57"/>
      <c r="M1532" s="57"/>
      <c r="N1532" s="57"/>
      <c r="O1532" s="57"/>
      <c r="P1532" s="57"/>
      <c r="Q1532" s="57"/>
      <c r="R1532" s="57"/>
      <c r="S1532" s="57"/>
      <c r="T1532" s="57"/>
      <c r="U1532" s="57"/>
      <c r="V1532" s="57"/>
      <c r="W1532" s="57"/>
      <c r="X1532" s="57"/>
      <c r="Y1532" s="57"/>
      <c r="Z1532" s="57"/>
      <c r="AA1532" s="57"/>
      <c r="AB1532" s="57"/>
      <c r="AC1532" s="57"/>
      <c r="AD1532" s="57"/>
      <c r="AE1532" s="57"/>
      <c r="AF1532" s="57"/>
    </row>
    <row r="1533" spans="1:32" x14ac:dyDescent="0.2">
      <c r="A1533" s="57"/>
      <c r="B1533" s="57"/>
      <c r="C1533" s="57"/>
      <c r="D1533" s="57"/>
      <c r="E1533" s="57"/>
      <c r="F1533" s="985"/>
      <c r="G1533" s="57"/>
      <c r="H1533" s="57"/>
      <c r="I1533" s="990"/>
      <c r="J1533" s="57"/>
      <c r="K1533" s="57"/>
      <c r="L1533" s="57"/>
      <c r="M1533" s="57"/>
      <c r="N1533" s="57"/>
      <c r="O1533" s="57"/>
      <c r="P1533" s="57"/>
      <c r="Q1533" s="57"/>
      <c r="R1533" s="57"/>
      <c r="S1533" s="57"/>
      <c r="T1533" s="57"/>
      <c r="U1533" s="57"/>
      <c r="V1533" s="57"/>
      <c r="W1533" s="57"/>
      <c r="X1533" s="57"/>
      <c r="Y1533" s="57"/>
      <c r="Z1533" s="57"/>
      <c r="AA1533" s="57"/>
      <c r="AB1533" s="57"/>
      <c r="AC1533" s="57"/>
      <c r="AD1533" s="57"/>
      <c r="AE1533" s="57"/>
      <c r="AF1533" s="57"/>
    </row>
    <row r="1534" spans="1:32" x14ac:dyDescent="0.2">
      <c r="A1534" s="57"/>
      <c r="B1534" s="57"/>
      <c r="C1534" s="57"/>
      <c r="D1534" s="57"/>
      <c r="E1534" s="57"/>
      <c r="F1534" s="985"/>
      <c r="G1534" s="57"/>
      <c r="H1534" s="57"/>
      <c r="I1534" s="990"/>
      <c r="J1534" s="57"/>
      <c r="K1534" s="57"/>
      <c r="L1534" s="57"/>
      <c r="M1534" s="57"/>
      <c r="N1534" s="57"/>
      <c r="O1534" s="57"/>
      <c r="P1534" s="57"/>
      <c r="Q1534" s="57"/>
      <c r="R1534" s="57"/>
      <c r="S1534" s="57"/>
      <c r="T1534" s="57"/>
      <c r="U1534" s="57"/>
      <c r="V1534" s="57"/>
      <c r="W1534" s="57"/>
      <c r="X1534" s="57"/>
      <c r="Y1534" s="57"/>
      <c r="Z1534" s="57"/>
      <c r="AA1534" s="57"/>
      <c r="AB1534" s="57"/>
      <c r="AC1534" s="57"/>
      <c r="AD1534" s="57"/>
      <c r="AE1534" s="57"/>
      <c r="AF1534" s="57"/>
    </row>
    <row r="1535" spans="1:32" x14ac:dyDescent="0.2">
      <c r="A1535" s="57"/>
      <c r="B1535" s="57"/>
      <c r="C1535" s="57"/>
      <c r="D1535" s="57"/>
      <c r="E1535" s="57"/>
      <c r="F1535" s="985"/>
      <c r="G1535" s="57"/>
      <c r="H1535" s="57"/>
      <c r="I1535" s="990"/>
      <c r="J1535" s="57"/>
      <c r="K1535" s="57"/>
      <c r="L1535" s="57"/>
      <c r="M1535" s="57"/>
      <c r="N1535" s="57"/>
      <c r="O1535" s="57"/>
      <c r="P1535" s="57"/>
      <c r="Q1535" s="57"/>
      <c r="R1535" s="57"/>
      <c r="S1535" s="57"/>
      <c r="T1535" s="57"/>
      <c r="U1535" s="57"/>
      <c r="V1535" s="57"/>
      <c r="W1535" s="57"/>
      <c r="X1535" s="57"/>
      <c r="Y1535" s="57"/>
      <c r="Z1535" s="57"/>
      <c r="AA1535" s="57"/>
      <c r="AB1535" s="57"/>
      <c r="AC1535" s="57"/>
      <c r="AD1535" s="57"/>
      <c r="AE1535" s="57"/>
      <c r="AF1535" s="57"/>
    </row>
    <row r="1536" spans="1:32" x14ac:dyDescent="0.2">
      <c r="A1536" s="57"/>
      <c r="B1536" s="57"/>
      <c r="C1536" s="57"/>
      <c r="D1536" s="57"/>
      <c r="E1536" s="57"/>
      <c r="F1536" s="985"/>
      <c r="G1536" s="57"/>
      <c r="H1536" s="57"/>
      <c r="I1536" s="990"/>
      <c r="J1536" s="57"/>
      <c r="K1536" s="57"/>
      <c r="L1536" s="57"/>
      <c r="M1536" s="57"/>
      <c r="N1536" s="57"/>
      <c r="O1536" s="57"/>
      <c r="P1536" s="57"/>
      <c r="Q1536" s="57"/>
      <c r="R1536" s="57"/>
      <c r="S1536" s="57"/>
      <c r="T1536" s="57"/>
      <c r="U1536" s="57"/>
      <c r="V1536" s="57"/>
      <c r="W1536" s="57"/>
      <c r="X1536" s="57"/>
      <c r="Y1536" s="57"/>
      <c r="Z1536" s="57"/>
      <c r="AA1536" s="57"/>
      <c r="AB1536" s="57"/>
      <c r="AC1536" s="57"/>
      <c r="AD1536" s="57"/>
      <c r="AE1536" s="57"/>
      <c r="AF1536" s="57"/>
    </row>
    <row r="1537" spans="1:32" x14ac:dyDescent="0.2">
      <c r="A1537" s="57"/>
      <c r="B1537" s="57"/>
      <c r="C1537" s="57"/>
      <c r="D1537" s="57"/>
      <c r="E1537" s="57"/>
      <c r="F1537" s="985"/>
      <c r="G1537" s="57"/>
      <c r="H1537" s="57"/>
      <c r="I1537" s="990"/>
      <c r="J1537" s="57"/>
      <c r="K1537" s="57"/>
      <c r="L1537" s="57"/>
      <c r="M1537" s="57"/>
      <c r="N1537" s="57"/>
      <c r="O1537" s="57"/>
      <c r="P1537" s="57"/>
      <c r="Q1537" s="57"/>
      <c r="R1537" s="57"/>
      <c r="S1537" s="57"/>
      <c r="T1537" s="57"/>
      <c r="U1537" s="57"/>
      <c r="V1537" s="57"/>
      <c r="W1537" s="57"/>
      <c r="X1537" s="57"/>
      <c r="Y1537" s="57"/>
      <c r="Z1537" s="57"/>
      <c r="AA1537" s="57"/>
      <c r="AB1537" s="57"/>
      <c r="AC1537" s="57"/>
      <c r="AD1537" s="57"/>
      <c r="AE1537" s="57"/>
      <c r="AF1537" s="57"/>
    </row>
    <row r="1538" spans="1:32" x14ac:dyDescent="0.2">
      <c r="A1538" s="57"/>
      <c r="B1538" s="57"/>
      <c r="C1538" s="57"/>
      <c r="D1538" s="57"/>
      <c r="E1538" s="57"/>
      <c r="F1538" s="985"/>
      <c r="G1538" s="57"/>
      <c r="H1538" s="57"/>
      <c r="I1538" s="990"/>
      <c r="J1538" s="57"/>
      <c r="K1538" s="57"/>
      <c r="L1538" s="57"/>
      <c r="M1538" s="57"/>
      <c r="N1538" s="57"/>
      <c r="O1538" s="57"/>
      <c r="P1538" s="57"/>
      <c r="Q1538" s="57"/>
      <c r="R1538" s="57"/>
      <c r="S1538" s="57"/>
      <c r="T1538" s="57"/>
      <c r="U1538" s="57"/>
      <c r="V1538" s="57"/>
      <c r="W1538" s="57"/>
      <c r="X1538" s="57"/>
      <c r="Y1538" s="57"/>
      <c r="Z1538" s="57"/>
      <c r="AA1538" s="57"/>
      <c r="AB1538" s="57"/>
      <c r="AC1538" s="57"/>
      <c r="AD1538" s="57"/>
      <c r="AE1538" s="57"/>
      <c r="AF1538" s="57"/>
    </row>
    <row r="1539" spans="1:32" x14ac:dyDescent="0.2">
      <c r="A1539" s="57"/>
      <c r="B1539" s="57"/>
      <c r="C1539" s="57"/>
      <c r="D1539" s="57"/>
      <c r="E1539" s="57"/>
      <c r="F1539" s="985"/>
      <c r="G1539" s="57"/>
      <c r="H1539" s="57"/>
      <c r="I1539" s="990"/>
      <c r="J1539" s="57"/>
      <c r="K1539" s="57"/>
      <c r="L1539" s="57"/>
      <c r="M1539" s="57"/>
      <c r="N1539" s="57"/>
      <c r="O1539" s="57"/>
      <c r="P1539" s="57"/>
      <c r="Q1539" s="57"/>
      <c r="R1539" s="57"/>
      <c r="S1539" s="57"/>
      <c r="T1539" s="57"/>
      <c r="U1539" s="57"/>
      <c r="V1539" s="57"/>
      <c r="W1539" s="57"/>
      <c r="X1539" s="57"/>
      <c r="Y1539" s="57"/>
      <c r="Z1539" s="57"/>
      <c r="AA1539" s="57"/>
      <c r="AB1539" s="57"/>
      <c r="AC1539" s="57"/>
      <c r="AD1539" s="57"/>
      <c r="AE1539" s="57"/>
      <c r="AF1539" s="57"/>
    </row>
    <row r="1540" spans="1:32" x14ac:dyDescent="0.2">
      <c r="A1540" s="57"/>
      <c r="B1540" s="57"/>
      <c r="C1540" s="57"/>
      <c r="D1540" s="57"/>
      <c r="E1540" s="57"/>
      <c r="F1540" s="985"/>
      <c r="G1540" s="57"/>
      <c r="H1540" s="57"/>
      <c r="I1540" s="990"/>
      <c r="J1540" s="57"/>
      <c r="K1540" s="57"/>
      <c r="L1540" s="57"/>
      <c r="M1540" s="57"/>
      <c r="N1540" s="57"/>
      <c r="O1540" s="57"/>
      <c r="P1540" s="57"/>
      <c r="Q1540" s="57"/>
      <c r="R1540" s="57"/>
      <c r="S1540" s="57"/>
      <c r="T1540" s="57"/>
      <c r="U1540" s="57"/>
      <c r="V1540" s="57"/>
      <c r="W1540" s="57"/>
      <c r="X1540" s="57"/>
      <c r="Y1540" s="57"/>
      <c r="Z1540" s="57"/>
      <c r="AA1540" s="57"/>
      <c r="AB1540" s="57"/>
      <c r="AC1540" s="57"/>
      <c r="AD1540" s="57"/>
      <c r="AE1540" s="57"/>
      <c r="AF1540" s="57"/>
    </row>
    <row r="1541" spans="1:32" x14ac:dyDescent="0.2">
      <c r="A1541" s="57"/>
      <c r="B1541" s="57"/>
      <c r="C1541" s="57"/>
      <c r="D1541" s="57"/>
      <c r="E1541" s="57"/>
      <c r="F1541" s="985"/>
      <c r="G1541" s="57"/>
      <c r="H1541" s="57"/>
      <c r="I1541" s="990"/>
      <c r="J1541" s="57"/>
      <c r="K1541" s="57"/>
      <c r="L1541" s="57"/>
      <c r="M1541" s="57"/>
      <c r="N1541" s="57"/>
      <c r="O1541" s="57"/>
      <c r="P1541" s="57"/>
      <c r="Q1541" s="57"/>
      <c r="R1541" s="57"/>
      <c r="S1541" s="57"/>
      <c r="T1541" s="57"/>
      <c r="U1541" s="57"/>
      <c r="V1541" s="57"/>
      <c r="W1541" s="57"/>
      <c r="X1541" s="57"/>
      <c r="Y1541" s="57"/>
      <c r="Z1541" s="57"/>
      <c r="AA1541" s="57"/>
      <c r="AB1541" s="57"/>
      <c r="AC1541" s="57"/>
      <c r="AD1541" s="57"/>
      <c r="AE1541" s="57"/>
      <c r="AF1541" s="57"/>
    </row>
    <row r="1542" spans="1:32" x14ac:dyDescent="0.2">
      <c r="A1542" s="57"/>
      <c r="B1542" s="57"/>
      <c r="C1542" s="57"/>
      <c r="D1542" s="57"/>
      <c r="E1542" s="57"/>
      <c r="F1542" s="985"/>
      <c r="G1542" s="57"/>
      <c r="H1542" s="57"/>
      <c r="I1542" s="990"/>
      <c r="J1542" s="57"/>
      <c r="K1542" s="57"/>
      <c r="L1542" s="57"/>
      <c r="M1542" s="57"/>
      <c r="N1542" s="57"/>
      <c r="O1542" s="57"/>
      <c r="P1542" s="57"/>
      <c r="Q1542" s="57"/>
      <c r="R1542" s="57"/>
      <c r="S1542" s="57"/>
      <c r="T1542" s="57"/>
      <c r="U1542" s="57"/>
      <c r="V1542" s="57"/>
      <c r="W1542" s="57"/>
      <c r="X1542" s="57"/>
      <c r="Y1542" s="57"/>
      <c r="Z1542" s="57"/>
      <c r="AA1542" s="57"/>
      <c r="AB1542" s="57"/>
      <c r="AC1542" s="57"/>
      <c r="AD1542" s="57"/>
      <c r="AE1542" s="57"/>
      <c r="AF1542" s="57"/>
    </row>
    <row r="1543" spans="1:32" x14ac:dyDescent="0.2">
      <c r="A1543" s="57"/>
      <c r="B1543" s="57"/>
      <c r="C1543" s="57"/>
      <c r="D1543" s="57"/>
      <c r="E1543" s="57"/>
      <c r="F1543" s="985"/>
      <c r="G1543" s="57"/>
      <c r="H1543" s="57"/>
      <c r="I1543" s="990"/>
      <c r="J1543" s="57"/>
      <c r="K1543" s="57"/>
      <c r="L1543" s="57"/>
      <c r="M1543" s="57"/>
      <c r="N1543" s="57"/>
      <c r="O1543" s="57"/>
      <c r="P1543" s="57"/>
      <c r="Q1543" s="57"/>
      <c r="R1543" s="57"/>
      <c r="S1543" s="57"/>
      <c r="T1543" s="57"/>
      <c r="U1543" s="57"/>
      <c r="V1543" s="57"/>
      <c r="W1543" s="57"/>
      <c r="X1543" s="57"/>
      <c r="Y1543" s="57"/>
      <c r="Z1543" s="57"/>
      <c r="AA1543" s="57"/>
      <c r="AB1543" s="57"/>
      <c r="AC1543" s="57"/>
      <c r="AD1543" s="57"/>
      <c r="AE1543" s="57"/>
      <c r="AF1543" s="57"/>
    </row>
    <row r="1544" spans="1:32" x14ac:dyDescent="0.2">
      <c r="A1544" s="57"/>
      <c r="B1544" s="57"/>
      <c r="C1544" s="57"/>
      <c r="D1544" s="57"/>
      <c r="E1544" s="57"/>
      <c r="F1544" s="985"/>
      <c r="G1544" s="57"/>
      <c r="H1544" s="57"/>
      <c r="I1544" s="990"/>
      <c r="J1544" s="57"/>
      <c r="K1544" s="57"/>
      <c r="L1544" s="57"/>
      <c r="M1544" s="57"/>
      <c r="N1544" s="57"/>
      <c r="O1544" s="57"/>
      <c r="P1544" s="57"/>
      <c r="Q1544" s="57"/>
      <c r="R1544" s="57"/>
      <c r="S1544" s="57"/>
      <c r="T1544" s="57"/>
      <c r="U1544" s="57"/>
      <c r="V1544" s="57"/>
      <c r="W1544" s="57"/>
      <c r="X1544" s="57"/>
      <c r="Y1544" s="57"/>
      <c r="Z1544" s="57"/>
      <c r="AA1544" s="57"/>
      <c r="AB1544" s="57"/>
      <c r="AC1544" s="57"/>
      <c r="AD1544" s="57"/>
      <c r="AE1544" s="57"/>
      <c r="AF1544" s="57"/>
    </row>
    <row r="1545" spans="1:32" x14ac:dyDescent="0.2">
      <c r="A1545" s="57"/>
      <c r="B1545" s="57"/>
      <c r="C1545" s="57"/>
      <c r="D1545" s="57"/>
      <c r="E1545" s="57"/>
      <c r="F1545" s="985"/>
      <c r="G1545" s="57"/>
      <c r="H1545" s="57"/>
      <c r="I1545" s="990"/>
      <c r="J1545" s="57"/>
      <c r="K1545" s="57"/>
      <c r="L1545" s="57"/>
      <c r="M1545" s="57"/>
      <c r="N1545" s="57"/>
      <c r="O1545" s="57"/>
      <c r="P1545" s="57"/>
      <c r="Q1545" s="57"/>
      <c r="R1545" s="57"/>
      <c r="S1545" s="57"/>
      <c r="T1545" s="57"/>
      <c r="U1545" s="57"/>
      <c r="V1545" s="57"/>
      <c r="W1545" s="57"/>
      <c r="X1545" s="57"/>
      <c r="Y1545" s="57"/>
      <c r="Z1545" s="57"/>
      <c r="AA1545" s="57"/>
      <c r="AB1545" s="57"/>
      <c r="AC1545" s="57"/>
      <c r="AD1545" s="57"/>
      <c r="AE1545" s="57"/>
      <c r="AF1545" s="57"/>
    </row>
    <row r="1546" spans="1:32" x14ac:dyDescent="0.2">
      <c r="A1546" s="57"/>
      <c r="B1546" s="57"/>
      <c r="C1546" s="57"/>
      <c r="D1546" s="57"/>
      <c r="E1546" s="57"/>
      <c r="F1546" s="985"/>
      <c r="G1546" s="57"/>
      <c r="H1546" s="57"/>
      <c r="I1546" s="990"/>
      <c r="J1546" s="57"/>
      <c r="K1546" s="57"/>
      <c r="L1546" s="57"/>
      <c r="M1546" s="57"/>
      <c r="N1546" s="57"/>
      <c r="O1546" s="57"/>
      <c r="P1546" s="57"/>
      <c r="Q1546" s="57"/>
      <c r="R1546" s="57"/>
      <c r="S1546" s="57"/>
      <c r="T1546" s="57"/>
      <c r="U1546" s="57"/>
      <c r="V1546" s="57"/>
      <c r="W1546" s="57"/>
      <c r="X1546" s="57"/>
      <c r="Y1546" s="57"/>
      <c r="Z1546" s="57"/>
      <c r="AA1546" s="57"/>
      <c r="AB1546" s="57"/>
      <c r="AC1546" s="57"/>
      <c r="AD1546" s="57"/>
      <c r="AE1546" s="57"/>
      <c r="AF1546" s="57"/>
    </row>
    <row r="1547" spans="1:32" x14ac:dyDescent="0.2">
      <c r="A1547" s="57"/>
      <c r="B1547" s="57"/>
      <c r="C1547" s="57"/>
      <c r="D1547" s="57"/>
      <c r="E1547" s="57"/>
      <c r="F1547" s="985"/>
      <c r="G1547" s="57"/>
      <c r="H1547" s="57"/>
      <c r="I1547" s="990"/>
      <c r="J1547" s="57"/>
      <c r="K1547" s="57"/>
      <c r="L1547" s="57"/>
      <c r="M1547" s="57"/>
      <c r="N1547" s="57"/>
      <c r="O1547" s="57"/>
      <c r="P1547" s="57"/>
      <c r="Q1547" s="57"/>
      <c r="R1547" s="57"/>
      <c r="S1547" s="57"/>
      <c r="T1547" s="57"/>
      <c r="U1547" s="57"/>
      <c r="V1547" s="57"/>
      <c r="W1547" s="57"/>
      <c r="X1547" s="57"/>
      <c r="Y1547" s="57"/>
      <c r="Z1547" s="57"/>
      <c r="AA1547" s="57"/>
      <c r="AB1547" s="57"/>
      <c r="AC1547" s="57"/>
      <c r="AD1547" s="57"/>
      <c r="AE1547" s="57"/>
      <c r="AF1547" s="57"/>
    </row>
    <row r="1548" spans="1:32" x14ac:dyDescent="0.2">
      <c r="A1548" s="57"/>
      <c r="B1548" s="57"/>
      <c r="C1548" s="57"/>
      <c r="D1548" s="57"/>
      <c r="E1548" s="57"/>
      <c r="F1548" s="985"/>
      <c r="G1548" s="57"/>
      <c r="H1548" s="57"/>
      <c r="I1548" s="990"/>
      <c r="J1548" s="57"/>
      <c r="K1548" s="57"/>
      <c r="L1548" s="57"/>
      <c r="M1548" s="57"/>
      <c r="N1548" s="57"/>
      <c r="O1548" s="57"/>
      <c r="P1548" s="57"/>
      <c r="Q1548" s="57"/>
      <c r="R1548" s="57"/>
      <c r="S1548" s="57"/>
      <c r="T1548" s="57"/>
      <c r="U1548" s="57"/>
      <c r="V1548" s="57"/>
      <c r="W1548" s="57"/>
      <c r="X1548" s="57"/>
      <c r="Y1548" s="57"/>
      <c r="Z1548" s="57"/>
      <c r="AA1548" s="57"/>
      <c r="AB1548" s="57"/>
      <c r="AC1548" s="57"/>
      <c r="AD1548" s="57"/>
      <c r="AE1548" s="57"/>
      <c r="AF1548" s="57"/>
    </row>
    <row r="1549" spans="1:32" x14ac:dyDescent="0.2">
      <c r="A1549" s="57"/>
      <c r="B1549" s="57"/>
      <c r="C1549" s="57"/>
      <c r="D1549" s="57"/>
      <c r="E1549" s="57"/>
      <c r="F1549" s="985"/>
      <c r="G1549" s="57"/>
      <c r="H1549" s="57"/>
      <c r="I1549" s="990"/>
      <c r="J1549" s="57"/>
      <c r="K1549" s="57"/>
      <c r="L1549" s="57"/>
      <c r="M1549" s="57"/>
      <c r="N1549" s="57"/>
      <c r="O1549" s="57"/>
      <c r="P1549" s="57"/>
      <c r="Q1549" s="57"/>
      <c r="R1549" s="57"/>
      <c r="S1549" s="57"/>
      <c r="T1549" s="57"/>
      <c r="U1549" s="57"/>
      <c r="V1549" s="57"/>
      <c r="W1549" s="57"/>
      <c r="X1549" s="57"/>
      <c r="Y1549" s="57"/>
      <c r="Z1549" s="57"/>
      <c r="AA1549" s="57"/>
      <c r="AB1549" s="57"/>
      <c r="AC1549" s="57"/>
      <c r="AD1549" s="57"/>
      <c r="AE1549" s="57"/>
      <c r="AF1549" s="57"/>
    </row>
    <row r="1550" spans="1:32" x14ac:dyDescent="0.2">
      <c r="A1550" s="57"/>
      <c r="B1550" s="57"/>
      <c r="C1550" s="57"/>
      <c r="D1550" s="57"/>
      <c r="E1550" s="57"/>
      <c r="F1550" s="985"/>
      <c r="G1550" s="57"/>
      <c r="H1550" s="57"/>
      <c r="I1550" s="990"/>
      <c r="J1550" s="57"/>
      <c r="K1550" s="57"/>
      <c r="L1550" s="57"/>
      <c r="M1550" s="57"/>
      <c r="N1550" s="57"/>
      <c r="O1550" s="57"/>
      <c r="P1550" s="57"/>
      <c r="Q1550" s="57"/>
      <c r="R1550" s="57"/>
      <c r="S1550" s="57"/>
      <c r="T1550" s="57"/>
      <c r="U1550" s="57"/>
      <c r="V1550" s="57"/>
      <c r="W1550" s="57"/>
      <c r="X1550" s="57"/>
      <c r="Y1550" s="57"/>
      <c r="Z1550" s="57"/>
      <c r="AA1550" s="57"/>
      <c r="AB1550" s="57"/>
      <c r="AC1550" s="57"/>
      <c r="AD1550" s="57"/>
      <c r="AE1550" s="57"/>
      <c r="AF1550" s="57"/>
    </row>
    <row r="1551" spans="1:32" x14ac:dyDescent="0.2">
      <c r="A1551" s="57"/>
      <c r="B1551" s="57"/>
      <c r="C1551" s="57"/>
      <c r="D1551" s="57"/>
      <c r="E1551" s="57"/>
      <c r="F1551" s="985"/>
      <c r="G1551" s="57"/>
      <c r="H1551" s="57"/>
      <c r="I1551" s="990"/>
      <c r="J1551" s="57"/>
      <c r="K1551" s="57"/>
      <c r="L1551" s="57"/>
      <c r="M1551" s="57"/>
      <c r="N1551" s="57"/>
      <c r="O1551" s="57"/>
      <c r="P1551" s="57"/>
      <c r="Q1551" s="57"/>
      <c r="R1551" s="57"/>
      <c r="S1551" s="57"/>
      <c r="T1551" s="57"/>
      <c r="U1551" s="57"/>
      <c r="V1551" s="57"/>
      <c r="W1551" s="57"/>
      <c r="X1551" s="57"/>
      <c r="Y1551" s="57"/>
      <c r="Z1551" s="57"/>
      <c r="AA1551" s="57"/>
      <c r="AB1551" s="57"/>
      <c r="AC1551" s="57"/>
      <c r="AD1551" s="57"/>
      <c r="AE1551" s="57"/>
      <c r="AF1551" s="57"/>
    </row>
    <row r="1552" spans="1:32" x14ac:dyDescent="0.2">
      <c r="A1552" s="57"/>
      <c r="B1552" s="57"/>
      <c r="C1552" s="57"/>
      <c r="D1552" s="57"/>
      <c r="E1552" s="57"/>
      <c r="F1552" s="985"/>
      <c r="G1552" s="57"/>
      <c r="H1552" s="57"/>
      <c r="I1552" s="990"/>
      <c r="J1552" s="57"/>
      <c r="K1552" s="57"/>
      <c r="L1552" s="57"/>
      <c r="M1552" s="57"/>
      <c r="N1552" s="57"/>
      <c r="O1552" s="57"/>
      <c r="P1552" s="57"/>
      <c r="Q1552" s="57"/>
      <c r="R1552" s="57"/>
      <c r="S1552" s="57"/>
      <c r="T1552" s="57"/>
      <c r="U1552" s="57"/>
      <c r="V1552" s="57"/>
      <c r="W1552" s="57"/>
      <c r="X1552" s="57"/>
      <c r="Y1552" s="57"/>
      <c r="Z1552" s="57"/>
      <c r="AA1552" s="57"/>
      <c r="AB1552" s="57"/>
      <c r="AC1552" s="57"/>
      <c r="AD1552" s="57"/>
      <c r="AE1552" s="57"/>
      <c r="AF1552" s="57"/>
    </row>
    <row r="1553" spans="1:32" x14ac:dyDescent="0.2">
      <c r="A1553" s="57"/>
      <c r="B1553" s="57"/>
      <c r="C1553" s="57"/>
      <c r="D1553" s="57"/>
      <c r="E1553" s="57"/>
      <c r="F1553" s="985"/>
      <c r="G1553" s="57"/>
      <c r="H1553" s="57"/>
      <c r="I1553" s="990"/>
      <c r="J1553" s="57"/>
      <c r="K1553" s="57"/>
      <c r="L1553" s="57"/>
      <c r="M1553" s="57"/>
      <c r="N1553" s="57"/>
      <c r="O1553" s="57"/>
      <c r="P1553" s="57"/>
      <c r="Q1553" s="57"/>
      <c r="R1553" s="57"/>
      <c r="S1553" s="57"/>
      <c r="T1553" s="57"/>
      <c r="U1553" s="57"/>
      <c r="V1553" s="57"/>
      <c r="W1553" s="57"/>
      <c r="X1553" s="57"/>
      <c r="Y1553" s="57"/>
      <c r="Z1553" s="57"/>
      <c r="AA1553" s="57"/>
      <c r="AB1553" s="57"/>
      <c r="AC1553" s="57"/>
      <c r="AD1553" s="57"/>
      <c r="AE1553" s="57"/>
      <c r="AF1553" s="57"/>
    </row>
    <row r="1554" spans="1:32" x14ac:dyDescent="0.2">
      <c r="A1554" s="57"/>
      <c r="B1554" s="57"/>
      <c r="C1554" s="57"/>
      <c r="D1554" s="57"/>
      <c r="E1554" s="57"/>
      <c r="F1554" s="985"/>
      <c r="G1554" s="57"/>
      <c r="H1554" s="57"/>
      <c r="I1554" s="990"/>
      <c r="J1554" s="57"/>
      <c r="K1554" s="57"/>
      <c r="L1554" s="57"/>
      <c r="M1554" s="57"/>
      <c r="N1554" s="57"/>
      <c r="O1554" s="57"/>
      <c r="P1554" s="57"/>
      <c r="Q1554" s="57"/>
      <c r="R1554" s="57"/>
      <c r="S1554" s="57"/>
      <c r="T1554" s="57"/>
      <c r="U1554" s="57"/>
      <c r="V1554" s="57"/>
      <c r="W1554" s="57"/>
      <c r="X1554" s="57"/>
      <c r="Y1554" s="57"/>
      <c r="Z1554" s="57"/>
      <c r="AA1554" s="57"/>
      <c r="AB1554" s="57"/>
      <c r="AC1554" s="57"/>
      <c r="AD1554" s="57"/>
      <c r="AE1554" s="57"/>
      <c r="AF1554" s="57"/>
    </row>
    <row r="1555" spans="1:32" x14ac:dyDescent="0.2">
      <c r="A1555" s="57"/>
      <c r="B1555" s="57"/>
      <c r="C1555" s="57"/>
      <c r="D1555" s="57"/>
      <c r="E1555" s="57"/>
      <c r="F1555" s="985"/>
      <c r="G1555" s="57"/>
      <c r="H1555" s="57"/>
      <c r="I1555" s="990"/>
      <c r="J1555" s="57"/>
      <c r="K1555" s="57"/>
      <c r="L1555" s="57"/>
      <c r="M1555" s="57"/>
      <c r="N1555" s="57"/>
      <c r="O1555" s="57"/>
      <c r="P1555" s="57"/>
      <c r="Q1555" s="57"/>
      <c r="R1555" s="57"/>
      <c r="S1555" s="57"/>
      <c r="T1555" s="57"/>
      <c r="U1555" s="57"/>
      <c r="V1555" s="57"/>
      <c r="W1555" s="57"/>
      <c r="X1555" s="57"/>
      <c r="Y1555" s="57"/>
      <c r="Z1555" s="57"/>
      <c r="AA1555" s="57"/>
      <c r="AB1555" s="57"/>
      <c r="AC1555" s="57"/>
      <c r="AD1555" s="57"/>
      <c r="AE1555" s="57"/>
      <c r="AF1555" s="57"/>
    </row>
    <row r="1556" spans="1:32" x14ac:dyDescent="0.2">
      <c r="A1556" s="57"/>
      <c r="B1556" s="57"/>
      <c r="C1556" s="57"/>
      <c r="D1556" s="57"/>
      <c r="E1556" s="57"/>
      <c r="F1556" s="985"/>
      <c r="G1556" s="57"/>
      <c r="H1556" s="57"/>
      <c r="I1556" s="990"/>
      <c r="J1556" s="57"/>
      <c r="K1556" s="57"/>
      <c r="L1556" s="57"/>
      <c r="M1556" s="57"/>
      <c r="N1556" s="57"/>
      <c r="O1556" s="57"/>
      <c r="P1556" s="57"/>
      <c r="Q1556" s="57"/>
      <c r="R1556" s="57"/>
      <c r="S1556" s="57"/>
      <c r="T1556" s="57"/>
      <c r="U1556" s="57"/>
      <c r="V1556" s="57"/>
      <c r="W1556" s="57"/>
      <c r="X1556" s="57"/>
      <c r="Y1556" s="57"/>
      <c r="Z1556" s="57"/>
      <c r="AA1556" s="57"/>
      <c r="AB1556" s="57"/>
      <c r="AC1556" s="57"/>
      <c r="AD1556" s="57"/>
      <c r="AE1556" s="57"/>
      <c r="AF1556" s="57"/>
    </row>
    <row r="1557" spans="1:32" x14ac:dyDescent="0.2">
      <c r="A1557" s="57"/>
      <c r="B1557" s="57"/>
      <c r="C1557" s="57"/>
      <c r="D1557" s="57"/>
      <c r="E1557" s="57"/>
      <c r="F1557" s="985"/>
      <c r="G1557" s="57"/>
      <c r="H1557" s="57"/>
      <c r="I1557" s="990"/>
      <c r="J1557" s="57"/>
      <c r="K1557" s="57"/>
      <c r="L1557" s="57"/>
      <c r="M1557" s="57"/>
      <c r="N1557" s="57"/>
      <c r="O1557" s="57"/>
      <c r="P1557" s="57"/>
      <c r="Q1557" s="57"/>
      <c r="R1557" s="57"/>
      <c r="S1557" s="57"/>
      <c r="T1557" s="57"/>
      <c r="U1557" s="57"/>
      <c r="V1557" s="57"/>
      <c r="W1557" s="57"/>
      <c r="X1557" s="57"/>
      <c r="Y1557" s="57"/>
      <c r="Z1557" s="57"/>
      <c r="AA1557" s="57"/>
      <c r="AB1557" s="57"/>
      <c r="AC1557" s="57"/>
      <c r="AD1557" s="57"/>
      <c r="AE1557" s="57"/>
      <c r="AF1557" s="57"/>
    </row>
    <row r="1558" spans="1:32" x14ac:dyDescent="0.2">
      <c r="A1558" s="57"/>
      <c r="B1558" s="57"/>
      <c r="C1558" s="57"/>
      <c r="D1558" s="57"/>
      <c r="E1558" s="57"/>
      <c r="F1558" s="985"/>
      <c r="G1558" s="57"/>
      <c r="H1558" s="57"/>
      <c r="I1558" s="990"/>
      <c r="J1558" s="57"/>
      <c r="K1558" s="57"/>
      <c r="L1558" s="57"/>
      <c r="M1558" s="57"/>
      <c r="N1558" s="57"/>
      <c r="O1558" s="57"/>
      <c r="P1558" s="57"/>
      <c r="Q1558" s="57"/>
      <c r="R1558" s="57"/>
      <c r="S1558" s="57"/>
      <c r="T1558" s="57"/>
      <c r="U1558" s="57"/>
      <c r="V1558" s="57"/>
      <c r="W1558" s="57"/>
      <c r="X1558" s="57"/>
      <c r="Y1558" s="57"/>
      <c r="Z1558" s="57"/>
      <c r="AA1558" s="57"/>
      <c r="AB1558" s="57"/>
      <c r="AC1558" s="57"/>
      <c r="AD1558" s="57"/>
      <c r="AE1558" s="57"/>
      <c r="AF1558" s="57"/>
    </row>
    <row r="1559" spans="1:32" x14ac:dyDescent="0.2">
      <c r="A1559" s="57"/>
      <c r="B1559" s="57"/>
      <c r="C1559" s="57"/>
      <c r="D1559" s="57"/>
      <c r="E1559" s="57"/>
      <c r="F1559" s="985"/>
      <c r="G1559" s="57"/>
      <c r="H1559" s="57"/>
      <c r="I1559" s="990"/>
      <c r="J1559" s="57"/>
      <c r="K1559" s="57"/>
      <c r="L1559" s="57"/>
      <c r="M1559" s="57"/>
      <c r="N1559" s="57"/>
      <c r="O1559" s="57"/>
      <c r="P1559" s="57"/>
      <c r="Q1559" s="57"/>
      <c r="R1559" s="57"/>
      <c r="S1559" s="57"/>
      <c r="T1559" s="57"/>
      <c r="U1559" s="57"/>
      <c r="V1559" s="57"/>
      <c r="W1559" s="57"/>
      <c r="X1559" s="57"/>
      <c r="Y1559" s="57"/>
      <c r="Z1559" s="57"/>
      <c r="AA1559" s="57"/>
      <c r="AB1559" s="57"/>
      <c r="AC1559" s="57"/>
      <c r="AD1559" s="57"/>
      <c r="AE1559" s="57"/>
      <c r="AF1559" s="57"/>
    </row>
    <row r="1560" spans="1:32" x14ac:dyDescent="0.2">
      <c r="A1560" s="57"/>
      <c r="B1560" s="57"/>
      <c r="C1560" s="57"/>
      <c r="D1560" s="57"/>
      <c r="E1560" s="57"/>
      <c r="F1560" s="985"/>
      <c r="G1560" s="57"/>
      <c r="H1560" s="57"/>
      <c r="I1560" s="990"/>
      <c r="J1560" s="57"/>
      <c r="K1560" s="57"/>
      <c r="L1560" s="57"/>
      <c r="M1560" s="57"/>
      <c r="N1560" s="57"/>
      <c r="O1560" s="57"/>
      <c r="P1560" s="57"/>
      <c r="Q1560" s="57"/>
      <c r="R1560" s="57"/>
      <c r="S1560" s="57"/>
      <c r="T1560" s="57"/>
      <c r="U1560" s="57"/>
      <c r="V1560" s="57"/>
      <c r="W1560" s="57"/>
      <c r="X1560" s="57"/>
      <c r="Y1560" s="57"/>
      <c r="Z1560" s="57"/>
      <c r="AA1560" s="57"/>
      <c r="AB1560" s="57"/>
      <c r="AC1560" s="57"/>
      <c r="AD1560" s="57"/>
      <c r="AE1560" s="57"/>
      <c r="AF1560" s="57"/>
    </row>
    <row r="1561" spans="1:32" x14ac:dyDescent="0.2">
      <c r="A1561" s="57"/>
      <c r="B1561" s="57"/>
      <c r="C1561" s="57"/>
      <c r="D1561" s="57"/>
      <c r="E1561" s="57"/>
      <c r="F1561" s="985"/>
      <c r="G1561" s="57"/>
      <c r="H1561" s="57"/>
      <c r="I1561" s="990"/>
      <c r="J1561" s="57"/>
      <c r="K1561" s="57"/>
      <c r="L1561" s="57"/>
      <c r="M1561" s="57"/>
      <c r="N1561" s="57"/>
      <c r="O1561" s="57"/>
      <c r="P1561" s="57"/>
      <c r="Q1561" s="57"/>
      <c r="R1561" s="57"/>
      <c r="S1561" s="57"/>
      <c r="T1561" s="57"/>
      <c r="U1561" s="57"/>
      <c r="V1561" s="57"/>
      <c r="W1561" s="57"/>
      <c r="X1561" s="57"/>
      <c r="Y1561" s="57"/>
      <c r="Z1561" s="57"/>
      <c r="AA1561" s="57"/>
      <c r="AB1561" s="57"/>
      <c r="AC1561" s="57"/>
      <c r="AD1561" s="57"/>
      <c r="AE1561" s="57"/>
      <c r="AF1561" s="57"/>
    </row>
    <row r="1562" spans="1:32" x14ac:dyDescent="0.2">
      <c r="A1562" s="57"/>
      <c r="B1562" s="57"/>
      <c r="C1562" s="57"/>
      <c r="D1562" s="57"/>
      <c r="E1562" s="57"/>
      <c r="F1562" s="985"/>
      <c r="G1562" s="57"/>
      <c r="H1562" s="57"/>
      <c r="I1562" s="990"/>
      <c r="J1562" s="57"/>
      <c r="K1562" s="57"/>
      <c r="L1562" s="57"/>
      <c r="M1562" s="57"/>
      <c r="N1562" s="57"/>
      <c r="O1562" s="57"/>
      <c r="P1562" s="57"/>
      <c r="Q1562" s="57"/>
      <c r="R1562" s="57"/>
      <c r="S1562" s="57"/>
      <c r="T1562" s="57"/>
      <c r="U1562" s="57"/>
      <c r="V1562" s="57"/>
      <c r="W1562" s="57"/>
      <c r="X1562" s="57"/>
      <c r="Y1562" s="57"/>
      <c r="Z1562" s="57"/>
      <c r="AA1562" s="57"/>
      <c r="AB1562" s="57"/>
      <c r="AC1562" s="57"/>
      <c r="AD1562" s="57"/>
      <c r="AE1562" s="57"/>
      <c r="AF1562" s="57"/>
    </row>
    <row r="1563" spans="1:32" x14ac:dyDescent="0.2">
      <c r="A1563" s="57"/>
      <c r="B1563" s="57"/>
      <c r="C1563" s="57"/>
      <c r="D1563" s="57"/>
      <c r="E1563" s="57"/>
      <c r="F1563" s="985"/>
      <c r="G1563" s="57"/>
      <c r="H1563" s="57"/>
      <c r="I1563" s="990"/>
      <c r="J1563" s="57"/>
      <c r="K1563" s="57"/>
      <c r="L1563" s="57"/>
      <c r="M1563" s="57"/>
      <c r="N1563" s="57"/>
      <c r="O1563" s="57"/>
      <c r="P1563" s="57"/>
      <c r="Q1563" s="57"/>
      <c r="R1563" s="57"/>
      <c r="S1563" s="57"/>
      <c r="T1563" s="57"/>
      <c r="U1563" s="57"/>
      <c r="V1563" s="57"/>
      <c r="W1563" s="57"/>
      <c r="X1563" s="57"/>
      <c r="Y1563" s="57"/>
      <c r="Z1563" s="57"/>
      <c r="AA1563" s="57"/>
      <c r="AB1563" s="57"/>
      <c r="AC1563" s="57"/>
      <c r="AD1563" s="57"/>
      <c r="AE1563" s="57"/>
      <c r="AF1563" s="57"/>
    </row>
    <row r="1564" spans="1:32" x14ac:dyDescent="0.2">
      <c r="A1564" s="57"/>
      <c r="B1564" s="57"/>
      <c r="C1564" s="57"/>
      <c r="D1564" s="57"/>
      <c r="E1564" s="57"/>
      <c r="F1564" s="985"/>
      <c r="G1564" s="57"/>
      <c r="H1564" s="57"/>
      <c r="I1564" s="990"/>
      <c r="J1564" s="57"/>
      <c r="K1564" s="57"/>
      <c r="L1564" s="57"/>
      <c r="M1564" s="57"/>
      <c r="N1564" s="57"/>
      <c r="O1564" s="57"/>
      <c r="P1564" s="57"/>
      <c r="Q1564" s="57"/>
      <c r="R1564" s="57"/>
      <c r="S1564" s="57"/>
      <c r="T1564" s="57"/>
      <c r="U1564" s="57"/>
      <c r="V1564" s="57"/>
      <c r="W1564" s="57"/>
      <c r="X1564" s="57"/>
      <c r="Y1564" s="57"/>
      <c r="Z1564" s="57"/>
      <c r="AA1564" s="57"/>
      <c r="AB1564" s="57"/>
      <c r="AC1564" s="57"/>
      <c r="AD1564" s="57"/>
      <c r="AE1564" s="57"/>
      <c r="AF1564" s="57"/>
    </row>
    <row r="1565" spans="1:32" x14ac:dyDescent="0.2">
      <c r="A1565" s="57"/>
      <c r="B1565" s="57"/>
      <c r="C1565" s="57"/>
      <c r="D1565" s="57"/>
      <c r="E1565" s="57"/>
      <c r="F1565" s="985"/>
      <c r="G1565" s="57"/>
      <c r="H1565" s="57"/>
      <c r="I1565" s="990"/>
      <c r="J1565" s="57"/>
      <c r="K1565" s="57"/>
      <c r="L1565" s="57"/>
      <c r="M1565" s="57"/>
      <c r="N1565" s="57"/>
      <c r="O1565" s="57"/>
      <c r="P1565" s="57"/>
      <c r="Q1565" s="57"/>
      <c r="R1565" s="57"/>
      <c r="S1565" s="57"/>
      <c r="T1565" s="57"/>
      <c r="U1565" s="57"/>
      <c r="V1565" s="57"/>
      <c r="W1565" s="57"/>
      <c r="X1565" s="57"/>
      <c r="Y1565" s="57"/>
      <c r="Z1565" s="57"/>
      <c r="AA1565" s="57"/>
      <c r="AB1565" s="57"/>
      <c r="AC1565" s="57"/>
      <c r="AD1565" s="57"/>
      <c r="AE1565" s="57"/>
      <c r="AF1565" s="57"/>
    </row>
    <row r="1566" spans="1:32" x14ac:dyDescent="0.2">
      <c r="A1566" s="57"/>
      <c r="B1566" s="57"/>
      <c r="C1566" s="57"/>
      <c r="D1566" s="57"/>
      <c r="E1566" s="57"/>
      <c r="F1566" s="985"/>
      <c r="G1566" s="57"/>
      <c r="H1566" s="57"/>
      <c r="I1566" s="990"/>
      <c r="J1566" s="57"/>
      <c r="K1566" s="57"/>
      <c r="L1566" s="57"/>
      <c r="M1566" s="57"/>
      <c r="N1566" s="57"/>
      <c r="O1566" s="57"/>
      <c r="P1566" s="57"/>
      <c r="Q1566" s="57"/>
      <c r="R1566" s="57"/>
      <c r="S1566" s="57"/>
      <c r="T1566" s="57"/>
      <c r="U1566" s="57"/>
      <c r="V1566" s="57"/>
      <c r="W1566" s="57"/>
      <c r="X1566" s="57"/>
      <c r="Y1566" s="57"/>
      <c r="Z1566" s="57"/>
      <c r="AA1566" s="57"/>
      <c r="AB1566" s="57"/>
      <c r="AC1566" s="57"/>
      <c r="AD1566" s="57"/>
      <c r="AE1566" s="57"/>
      <c r="AF1566" s="57"/>
    </row>
    <row r="1567" spans="1:32" x14ac:dyDescent="0.2">
      <c r="A1567" s="57"/>
      <c r="B1567" s="57"/>
      <c r="C1567" s="57"/>
      <c r="D1567" s="57"/>
      <c r="E1567" s="57"/>
      <c r="F1567" s="985"/>
      <c r="G1567" s="57"/>
      <c r="H1567" s="57"/>
      <c r="I1567" s="990"/>
      <c r="J1567" s="57"/>
      <c r="K1567" s="57"/>
      <c r="L1567" s="57"/>
      <c r="M1567" s="57"/>
      <c r="N1567" s="57"/>
      <c r="O1567" s="57"/>
      <c r="P1567" s="57"/>
      <c r="Q1567" s="57"/>
      <c r="R1567" s="57"/>
      <c r="S1567" s="57"/>
      <c r="T1567" s="57"/>
      <c r="U1567" s="57"/>
      <c r="V1567" s="57"/>
      <c r="W1567" s="57"/>
      <c r="X1567" s="57"/>
      <c r="Y1567" s="57"/>
      <c r="Z1567" s="57"/>
      <c r="AA1567" s="57"/>
      <c r="AB1567" s="57"/>
      <c r="AC1567" s="57"/>
      <c r="AD1567" s="57"/>
      <c r="AE1567" s="57"/>
      <c r="AF1567" s="57"/>
    </row>
    <row r="1568" spans="1:32" x14ac:dyDescent="0.2">
      <c r="A1568" s="57"/>
      <c r="B1568" s="57"/>
      <c r="C1568" s="57"/>
      <c r="D1568" s="57"/>
      <c r="E1568" s="57"/>
      <c r="F1568" s="985"/>
      <c r="G1568" s="57"/>
      <c r="H1568" s="57"/>
      <c r="I1568" s="990"/>
      <c r="J1568" s="57"/>
      <c r="K1568" s="57"/>
      <c r="L1568" s="57"/>
      <c r="M1568" s="57"/>
      <c r="N1568" s="57"/>
      <c r="O1568" s="57"/>
      <c r="P1568" s="57"/>
      <c r="Q1568" s="57"/>
      <c r="R1568" s="57"/>
      <c r="S1568" s="57"/>
      <c r="T1568" s="57"/>
      <c r="U1568" s="57"/>
      <c r="V1568" s="57"/>
      <c r="W1568" s="57"/>
      <c r="X1568" s="57"/>
      <c r="Y1568" s="57"/>
      <c r="Z1568" s="57"/>
      <c r="AA1568" s="57"/>
      <c r="AB1568" s="57"/>
      <c r="AC1568" s="57"/>
      <c r="AD1568" s="57"/>
      <c r="AE1568" s="57"/>
      <c r="AF1568" s="57"/>
    </row>
    <row r="1569" spans="1:32" x14ac:dyDescent="0.2">
      <c r="A1569" s="57"/>
      <c r="B1569" s="57"/>
      <c r="C1569" s="57"/>
      <c r="D1569" s="57"/>
      <c r="E1569" s="57"/>
      <c r="F1569" s="985"/>
      <c r="G1569" s="57"/>
      <c r="H1569" s="57"/>
      <c r="I1569" s="990"/>
      <c r="J1569" s="57"/>
      <c r="K1569" s="57"/>
      <c r="L1569" s="57"/>
      <c r="M1569" s="57"/>
      <c r="N1569" s="57"/>
      <c r="O1569" s="57"/>
      <c r="P1569" s="57"/>
      <c r="Q1569" s="57"/>
      <c r="R1569" s="57"/>
      <c r="S1569" s="57"/>
      <c r="T1569" s="57"/>
      <c r="U1569" s="57"/>
      <c r="V1569" s="57"/>
      <c r="W1569" s="57"/>
      <c r="X1569" s="57"/>
      <c r="Y1569" s="57"/>
      <c r="Z1569" s="57"/>
      <c r="AA1569" s="57"/>
      <c r="AB1569" s="57"/>
      <c r="AC1569" s="57"/>
      <c r="AD1569" s="57"/>
      <c r="AE1569" s="57"/>
      <c r="AF1569" s="57"/>
    </row>
    <row r="1570" spans="1:32" x14ac:dyDescent="0.2">
      <c r="A1570" s="57"/>
      <c r="B1570" s="57"/>
      <c r="C1570" s="57"/>
      <c r="D1570" s="57"/>
      <c r="E1570" s="57"/>
      <c r="F1570" s="985"/>
      <c r="G1570" s="57"/>
      <c r="H1570" s="57"/>
      <c r="I1570" s="990"/>
      <c r="J1570" s="57"/>
      <c r="K1570" s="57"/>
      <c r="L1570" s="57"/>
      <c r="M1570" s="57"/>
      <c r="N1570" s="57"/>
      <c r="O1570" s="57"/>
      <c r="P1570" s="57"/>
      <c r="Q1570" s="57"/>
      <c r="R1570" s="57"/>
      <c r="S1570" s="57"/>
      <c r="T1570" s="57"/>
      <c r="U1570" s="57"/>
      <c r="V1570" s="57"/>
      <c r="W1570" s="57"/>
      <c r="X1570" s="57"/>
      <c r="Y1570" s="57"/>
      <c r="Z1570" s="57"/>
      <c r="AA1570" s="57"/>
      <c r="AB1570" s="57"/>
      <c r="AC1570" s="57"/>
      <c r="AD1570" s="57"/>
      <c r="AE1570" s="57"/>
      <c r="AF1570" s="57"/>
    </row>
    <row r="1571" spans="1:32" x14ac:dyDescent="0.2">
      <c r="A1571" s="57"/>
      <c r="B1571" s="57"/>
      <c r="C1571" s="57"/>
      <c r="D1571" s="57"/>
      <c r="E1571" s="57"/>
      <c r="F1571" s="985"/>
      <c r="G1571" s="57"/>
      <c r="H1571" s="57"/>
      <c r="I1571" s="990"/>
      <c r="J1571" s="57"/>
      <c r="K1571" s="57"/>
      <c r="L1571" s="57"/>
      <c r="M1571" s="57"/>
      <c r="N1571" s="57"/>
      <c r="O1571" s="57"/>
      <c r="P1571" s="57"/>
      <c r="Q1571" s="57"/>
      <c r="R1571" s="57"/>
      <c r="S1571" s="57"/>
      <c r="T1571" s="57"/>
      <c r="U1571" s="57"/>
      <c r="V1571" s="57"/>
      <c r="W1571" s="57"/>
      <c r="X1571" s="57"/>
      <c r="Y1571" s="57"/>
      <c r="Z1571" s="57"/>
      <c r="AA1571" s="57"/>
      <c r="AB1571" s="57"/>
      <c r="AC1571" s="57"/>
      <c r="AD1571" s="57"/>
      <c r="AE1571" s="57"/>
      <c r="AF1571" s="57"/>
    </row>
    <row r="1572" spans="1:32" x14ac:dyDescent="0.2">
      <c r="A1572" s="57"/>
      <c r="B1572" s="57"/>
      <c r="C1572" s="57"/>
      <c r="D1572" s="57"/>
      <c r="E1572" s="57"/>
      <c r="F1572" s="985"/>
      <c r="G1572" s="57"/>
      <c r="H1572" s="57"/>
      <c r="I1572" s="990"/>
      <c r="J1572" s="57"/>
      <c r="K1572" s="57"/>
      <c r="L1572" s="57"/>
      <c r="M1572" s="57"/>
      <c r="N1572" s="57"/>
      <c r="O1572" s="57"/>
      <c r="P1572" s="57"/>
      <c r="Q1572" s="57"/>
      <c r="R1572" s="57"/>
      <c r="S1572" s="57"/>
      <c r="T1572" s="57"/>
      <c r="U1572" s="57"/>
      <c r="V1572" s="57"/>
      <c r="W1572" s="57"/>
      <c r="X1572" s="57"/>
      <c r="Y1572" s="57"/>
      <c r="Z1572" s="57"/>
      <c r="AA1572" s="57"/>
      <c r="AB1572" s="57"/>
      <c r="AC1572" s="57"/>
      <c r="AD1572" s="57"/>
      <c r="AE1572" s="57"/>
      <c r="AF1572" s="57"/>
    </row>
    <row r="1573" spans="1:32" x14ac:dyDescent="0.2">
      <c r="A1573" s="57"/>
      <c r="B1573" s="57"/>
      <c r="C1573" s="57"/>
      <c r="D1573" s="57"/>
      <c r="E1573" s="57"/>
      <c r="F1573" s="985"/>
      <c r="G1573" s="57"/>
      <c r="H1573" s="57"/>
      <c r="I1573" s="990"/>
      <c r="J1573" s="57"/>
      <c r="K1573" s="57"/>
      <c r="L1573" s="57"/>
      <c r="M1573" s="57"/>
      <c r="N1573" s="57"/>
      <c r="O1573" s="57"/>
      <c r="P1573" s="57"/>
      <c r="Q1573" s="57"/>
      <c r="R1573" s="57"/>
      <c r="S1573" s="57"/>
      <c r="T1573" s="57"/>
      <c r="U1573" s="57"/>
      <c r="V1573" s="57"/>
      <c r="W1573" s="57"/>
      <c r="X1573" s="57"/>
      <c r="Y1573" s="57"/>
      <c r="Z1573" s="57"/>
      <c r="AA1573" s="57"/>
      <c r="AB1573" s="57"/>
      <c r="AC1573" s="57"/>
      <c r="AD1573" s="57"/>
      <c r="AE1573" s="57"/>
      <c r="AF1573" s="57"/>
    </row>
    <row r="1574" spans="1:32" x14ac:dyDescent="0.2">
      <c r="A1574" s="57"/>
      <c r="B1574" s="57"/>
      <c r="C1574" s="57"/>
      <c r="D1574" s="57"/>
      <c r="E1574" s="57"/>
      <c r="F1574" s="985"/>
      <c r="G1574" s="57"/>
      <c r="H1574" s="57"/>
      <c r="I1574" s="990"/>
      <c r="J1574" s="57"/>
      <c r="K1574" s="57"/>
      <c r="L1574" s="57"/>
      <c r="M1574" s="57"/>
      <c r="N1574" s="57"/>
      <c r="O1574" s="57"/>
      <c r="P1574" s="57"/>
      <c r="Q1574" s="57"/>
      <c r="R1574" s="57"/>
      <c r="S1574" s="57"/>
      <c r="T1574" s="57"/>
      <c r="U1574" s="57"/>
      <c r="V1574" s="57"/>
      <c r="W1574" s="57"/>
      <c r="X1574" s="57"/>
      <c r="Y1574" s="57"/>
      <c r="Z1574" s="57"/>
      <c r="AA1574" s="57"/>
      <c r="AB1574" s="57"/>
      <c r="AC1574" s="57"/>
      <c r="AD1574" s="57"/>
      <c r="AE1574" s="57"/>
      <c r="AF1574" s="57"/>
    </row>
    <row r="1575" spans="1:32" x14ac:dyDescent="0.2">
      <c r="A1575" s="57"/>
      <c r="B1575" s="57"/>
      <c r="C1575" s="57"/>
      <c r="D1575" s="57"/>
      <c r="E1575" s="57"/>
      <c r="F1575" s="985"/>
      <c r="G1575" s="57"/>
      <c r="H1575" s="57"/>
      <c r="I1575" s="990"/>
      <c r="J1575" s="57"/>
      <c r="K1575" s="57"/>
      <c r="L1575" s="57"/>
      <c r="M1575" s="57"/>
      <c r="N1575" s="57"/>
      <c r="O1575" s="57"/>
      <c r="P1575" s="57"/>
      <c r="Q1575" s="57"/>
      <c r="R1575" s="57"/>
      <c r="S1575" s="57"/>
      <c r="T1575" s="57"/>
      <c r="U1575" s="57"/>
      <c r="V1575" s="57"/>
      <c r="W1575" s="57"/>
      <c r="X1575" s="57"/>
      <c r="Y1575" s="57"/>
      <c r="Z1575" s="57"/>
      <c r="AA1575" s="57"/>
      <c r="AB1575" s="57"/>
      <c r="AC1575" s="57"/>
      <c r="AD1575" s="57"/>
      <c r="AE1575" s="57"/>
      <c r="AF1575" s="57"/>
    </row>
    <row r="1576" spans="1:32" x14ac:dyDescent="0.2">
      <c r="A1576" s="57"/>
      <c r="B1576" s="57"/>
      <c r="C1576" s="57"/>
      <c r="D1576" s="57"/>
      <c r="E1576" s="57"/>
      <c r="F1576" s="985"/>
      <c r="G1576" s="57"/>
      <c r="H1576" s="57"/>
      <c r="I1576" s="990"/>
      <c r="J1576" s="57"/>
      <c r="K1576" s="57"/>
      <c r="L1576" s="57"/>
      <c r="M1576" s="57"/>
      <c r="N1576" s="57"/>
      <c r="O1576" s="57"/>
      <c r="P1576" s="57"/>
      <c r="Q1576" s="57"/>
      <c r="R1576" s="57"/>
      <c r="S1576" s="57"/>
      <c r="T1576" s="57"/>
      <c r="U1576" s="57"/>
      <c r="V1576" s="57"/>
      <c r="W1576" s="57"/>
      <c r="X1576" s="57"/>
      <c r="Y1576" s="57"/>
      <c r="Z1576" s="57"/>
      <c r="AA1576" s="57"/>
      <c r="AB1576" s="57"/>
      <c r="AC1576" s="57"/>
      <c r="AD1576" s="57"/>
      <c r="AE1576" s="57"/>
      <c r="AF1576" s="57"/>
    </row>
    <row r="1577" spans="1:32" x14ac:dyDescent="0.2">
      <c r="A1577" s="57"/>
      <c r="B1577" s="57"/>
      <c r="C1577" s="57"/>
      <c r="D1577" s="57"/>
      <c r="E1577" s="57"/>
      <c r="F1577" s="985"/>
      <c r="G1577" s="57"/>
      <c r="H1577" s="57"/>
      <c r="I1577" s="990"/>
      <c r="J1577" s="57"/>
      <c r="K1577" s="57"/>
      <c r="L1577" s="57"/>
      <c r="M1577" s="57"/>
      <c r="N1577" s="57"/>
      <c r="O1577" s="57"/>
      <c r="P1577" s="57"/>
      <c r="Q1577" s="57"/>
      <c r="R1577" s="57"/>
      <c r="S1577" s="57"/>
      <c r="T1577" s="57"/>
      <c r="U1577" s="57"/>
      <c r="V1577" s="57"/>
      <c r="W1577" s="57"/>
      <c r="X1577" s="57"/>
      <c r="Y1577" s="57"/>
      <c r="Z1577" s="57"/>
      <c r="AA1577" s="57"/>
      <c r="AB1577" s="57"/>
      <c r="AC1577" s="57"/>
      <c r="AD1577" s="57"/>
      <c r="AE1577" s="57"/>
      <c r="AF1577" s="57"/>
    </row>
    <row r="1578" spans="1:32" x14ac:dyDescent="0.2">
      <c r="A1578" s="57"/>
      <c r="B1578" s="57"/>
      <c r="C1578" s="57"/>
      <c r="D1578" s="57"/>
      <c r="E1578" s="57"/>
      <c r="F1578" s="985"/>
      <c r="G1578" s="57"/>
      <c r="H1578" s="57"/>
      <c r="I1578" s="990"/>
      <c r="J1578" s="57"/>
      <c r="K1578" s="57"/>
      <c r="L1578" s="57"/>
      <c r="M1578" s="57"/>
      <c r="N1578" s="57"/>
      <c r="O1578" s="57"/>
      <c r="P1578" s="57"/>
      <c r="Q1578" s="57"/>
      <c r="R1578" s="57"/>
      <c r="S1578" s="57"/>
      <c r="T1578" s="57"/>
      <c r="U1578" s="57"/>
      <c r="V1578" s="57"/>
      <c r="W1578" s="57"/>
      <c r="X1578" s="57"/>
      <c r="Y1578" s="57"/>
      <c r="Z1578" s="57"/>
      <c r="AA1578" s="57"/>
      <c r="AB1578" s="57"/>
      <c r="AC1578" s="57"/>
      <c r="AD1578" s="57"/>
      <c r="AE1578" s="57"/>
      <c r="AF1578" s="57"/>
    </row>
    <row r="1579" spans="1:32" x14ac:dyDescent="0.2">
      <c r="A1579" s="57"/>
      <c r="B1579" s="57"/>
      <c r="C1579" s="57"/>
      <c r="D1579" s="57"/>
      <c r="E1579" s="57"/>
      <c r="F1579" s="985"/>
      <c r="G1579" s="57"/>
      <c r="H1579" s="57"/>
      <c r="I1579" s="990"/>
      <c r="J1579" s="57"/>
      <c r="K1579" s="57"/>
      <c r="L1579" s="57"/>
      <c r="M1579" s="57"/>
      <c r="N1579" s="57"/>
      <c r="O1579" s="57"/>
      <c r="P1579" s="57"/>
      <c r="Q1579" s="57"/>
      <c r="R1579" s="57"/>
      <c r="S1579" s="57"/>
      <c r="T1579" s="57"/>
      <c r="U1579" s="57"/>
      <c r="V1579" s="57"/>
      <c r="W1579" s="57"/>
      <c r="X1579" s="57"/>
      <c r="Y1579" s="57"/>
      <c r="Z1579" s="57"/>
      <c r="AA1579" s="57"/>
      <c r="AB1579" s="57"/>
      <c r="AC1579" s="57"/>
      <c r="AD1579" s="57"/>
      <c r="AE1579" s="57"/>
      <c r="AF1579" s="57"/>
    </row>
    <row r="1580" spans="1:32" x14ac:dyDescent="0.2">
      <c r="A1580" s="57"/>
      <c r="B1580" s="57"/>
      <c r="C1580" s="57"/>
      <c r="D1580" s="57"/>
      <c r="E1580" s="57"/>
      <c r="F1580" s="985"/>
      <c r="G1580" s="57"/>
      <c r="H1580" s="57"/>
      <c r="I1580" s="990"/>
      <c r="J1580" s="57"/>
      <c r="K1580" s="57"/>
      <c r="L1580" s="57"/>
      <c r="M1580" s="57"/>
      <c r="N1580" s="57"/>
      <c r="O1580" s="57"/>
      <c r="P1580" s="57"/>
      <c r="Q1580" s="57"/>
      <c r="R1580" s="57"/>
      <c r="S1580" s="57"/>
      <c r="T1580" s="57"/>
      <c r="U1580" s="57"/>
      <c r="V1580" s="57"/>
      <c r="W1580" s="57"/>
      <c r="X1580" s="57"/>
      <c r="Y1580" s="57"/>
      <c r="Z1580" s="57"/>
      <c r="AA1580" s="57"/>
      <c r="AB1580" s="57"/>
      <c r="AC1580" s="57"/>
      <c r="AD1580" s="57"/>
      <c r="AE1580" s="57"/>
      <c r="AF1580" s="57"/>
    </row>
    <row r="1581" spans="1:32" x14ac:dyDescent="0.2">
      <c r="A1581" s="57"/>
      <c r="B1581" s="57"/>
      <c r="C1581" s="57"/>
      <c r="D1581" s="57"/>
      <c r="E1581" s="57"/>
      <c r="F1581" s="985"/>
      <c r="G1581" s="57"/>
      <c r="H1581" s="57"/>
      <c r="I1581" s="990"/>
      <c r="J1581" s="57"/>
      <c r="K1581" s="57"/>
      <c r="L1581" s="57"/>
      <c r="M1581" s="57"/>
      <c r="N1581" s="57"/>
      <c r="O1581" s="57"/>
      <c r="P1581" s="57"/>
      <c r="Q1581" s="57"/>
      <c r="R1581" s="57"/>
      <c r="S1581" s="57"/>
      <c r="T1581" s="57"/>
      <c r="U1581" s="57"/>
      <c r="V1581" s="57"/>
      <c r="W1581" s="57"/>
      <c r="X1581" s="57"/>
      <c r="Y1581" s="57"/>
      <c r="Z1581" s="57"/>
      <c r="AA1581" s="57"/>
      <c r="AB1581" s="57"/>
      <c r="AC1581" s="57"/>
      <c r="AD1581" s="57"/>
      <c r="AE1581" s="57"/>
      <c r="AF1581" s="57"/>
    </row>
    <row r="1582" spans="1:32" x14ac:dyDescent="0.2">
      <c r="A1582" s="57"/>
      <c r="B1582" s="57"/>
      <c r="C1582" s="57"/>
      <c r="D1582" s="57"/>
      <c r="E1582" s="57"/>
      <c r="F1582" s="985"/>
      <c r="G1582" s="57"/>
      <c r="H1582" s="57"/>
      <c r="I1582" s="990"/>
      <c r="J1582" s="57"/>
      <c r="K1582" s="57"/>
      <c r="L1582" s="57"/>
      <c r="M1582" s="57"/>
      <c r="N1582" s="57"/>
      <c r="O1582" s="57"/>
      <c r="P1582" s="57"/>
      <c r="Q1582" s="57"/>
      <c r="R1582" s="57"/>
      <c r="S1582" s="57"/>
      <c r="T1582" s="57"/>
      <c r="U1582" s="57"/>
      <c r="V1582" s="57"/>
      <c r="W1582" s="57"/>
      <c r="X1582" s="57"/>
      <c r="Y1582" s="57"/>
      <c r="Z1582" s="57"/>
      <c r="AA1582" s="57"/>
      <c r="AB1582" s="57"/>
      <c r="AC1582" s="57"/>
      <c r="AD1582" s="57"/>
      <c r="AE1582" s="57"/>
      <c r="AF1582" s="57"/>
    </row>
    <row r="1583" spans="1:32" x14ac:dyDescent="0.2">
      <c r="A1583" s="57"/>
      <c r="B1583" s="57"/>
      <c r="C1583" s="57"/>
      <c r="D1583" s="57"/>
      <c r="E1583" s="57"/>
      <c r="F1583" s="985"/>
      <c r="G1583" s="57"/>
      <c r="H1583" s="57"/>
      <c r="I1583" s="990"/>
      <c r="J1583" s="57"/>
      <c r="K1583" s="57"/>
      <c r="L1583" s="57"/>
      <c r="M1583" s="57"/>
      <c r="N1583" s="57"/>
      <c r="O1583" s="57"/>
      <c r="P1583" s="57"/>
      <c r="Q1583" s="57"/>
      <c r="R1583" s="57"/>
      <c r="S1583" s="57"/>
      <c r="T1583" s="57"/>
      <c r="U1583" s="57"/>
      <c r="V1583" s="57"/>
      <c r="W1583" s="57"/>
      <c r="X1583" s="57"/>
      <c r="Y1583" s="57"/>
      <c r="Z1583" s="57"/>
      <c r="AA1583" s="57"/>
      <c r="AB1583" s="57"/>
      <c r="AC1583" s="57"/>
      <c r="AD1583" s="57"/>
      <c r="AE1583" s="57"/>
      <c r="AF1583" s="57"/>
    </row>
    <row r="1584" spans="1:32" x14ac:dyDescent="0.2">
      <c r="A1584" s="57"/>
      <c r="B1584" s="57"/>
      <c r="C1584" s="57"/>
      <c r="D1584" s="57"/>
      <c r="E1584" s="57"/>
      <c r="F1584" s="985"/>
      <c r="G1584" s="57"/>
      <c r="H1584" s="57"/>
      <c r="I1584" s="990"/>
      <c r="J1584" s="57"/>
      <c r="K1584" s="57"/>
      <c r="L1584" s="57"/>
      <c r="M1584" s="57"/>
      <c r="N1584" s="57"/>
      <c r="O1584" s="57"/>
      <c r="P1584" s="57"/>
      <c r="Q1584" s="57"/>
      <c r="R1584" s="57"/>
      <c r="S1584" s="57"/>
      <c r="T1584" s="57"/>
      <c r="U1584" s="57"/>
      <c r="V1584" s="57"/>
      <c r="W1584" s="57"/>
      <c r="X1584" s="57"/>
      <c r="Y1584" s="57"/>
      <c r="Z1584" s="57"/>
      <c r="AA1584" s="57"/>
      <c r="AB1584" s="57"/>
      <c r="AC1584" s="57"/>
      <c r="AD1584" s="57"/>
      <c r="AE1584" s="57"/>
      <c r="AF1584" s="57"/>
    </row>
    <row r="1585" spans="1:32" x14ac:dyDescent="0.2">
      <c r="A1585" s="57"/>
      <c r="B1585" s="57"/>
      <c r="C1585" s="57"/>
      <c r="D1585" s="57"/>
      <c r="E1585" s="57"/>
      <c r="F1585" s="985"/>
      <c r="G1585" s="57"/>
      <c r="H1585" s="57"/>
      <c r="I1585" s="990"/>
      <c r="J1585" s="57"/>
      <c r="K1585" s="57"/>
      <c r="L1585" s="57"/>
      <c r="M1585" s="57"/>
      <c r="N1585" s="57"/>
      <c r="O1585" s="57"/>
      <c r="P1585" s="57"/>
      <c r="Q1585" s="57"/>
      <c r="R1585" s="57"/>
      <c r="S1585" s="57"/>
      <c r="T1585" s="57"/>
      <c r="U1585" s="57"/>
      <c r="V1585" s="57"/>
      <c r="W1585" s="57"/>
      <c r="X1585" s="57"/>
      <c r="Y1585" s="57"/>
      <c r="Z1585" s="57"/>
      <c r="AA1585" s="57"/>
      <c r="AB1585" s="57"/>
      <c r="AC1585" s="57"/>
      <c r="AD1585" s="57"/>
      <c r="AE1585" s="57"/>
      <c r="AF1585" s="57"/>
    </row>
    <row r="1586" spans="1:32" x14ac:dyDescent="0.2">
      <c r="A1586" s="57"/>
      <c r="B1586" s="57"/>
      <c r="C1586" s="57"/>
      <c r="D1586" s="57"/>
      <c r="E1586" s="57"/>
      <c r="F1586" s="985"/>
      <c r="G1586" s="57"/>
      <c r="H1586" s="57"/>
      <c r="I1586" s="990"/>
      <c r="J1586" s="57"/>
      <c r="K1586" s="57"/>
      <c r="L1586" s="57"/>
      <c r="M1586" s="57"/>
      <c r="N1586" s="57"/>
      <c r="O1586" s="57"/>
      <c r="P1586" s="57"/>
      <c r="Q1586" s="57"/>
      <c r="R1586" s="57"/>
      <c r="S1586" s="57"/>
      <c r="T1586" s="57"/>
      <c r="U1586" s="57"/>
      <c r="V1586" s="57"/>
      <c r="W1586" s="57"/>
      <c r="X1586" s="57"/>
      <c r="Y1586" s="57"/>
      <c r="Z1586" s="57"/>
      <c r="AA1586" s="57"/>
      <c r="AB1586" s="57"/>
      <c r="AC1586" s="57"/>
      <c r="AD1586" s="57"/>
      <c r="AE1586" s="57"/>
      <c r="AF1586" s="57"/>
    </row>
    <row r="1587" spans="1:32" x14ac:dyDescent="0.2">
      <c r="A1587" s="57"/>
      <c r="B1587" s="57"/>
      <c r="C1587" s="57"/>
      <c r="D1587" s="57"/>
      <c r="E1587" s="57"/>
      <c r="F1587" s="985"/>
      <c r="G1587" s="57"/>
      <c r="H1587" s="57"/>
      <c r="I1587" s="990"/>
      <c r="J1587" s="57"/>
      <c r="K1587" s="57"/>
      <c r="L1587" s="57"/>
      <c r="M1587" s="57"/>
      <c r="N1587" s="57"/>
      <c r="O1587" s="57"/>
      <c r="P1587" s="57"/>
      <c r="Q1587" s="57"/>
      <c r="R1587" s="57"/>
      <c r="S1587" s="57"/>
      <c r="T1587" s="57"/>
      <c r="U1587" s="57"/>
      <c r="V1587" s="57"/>
      <c r="W1587" s="57"/>
      <c r="X1587" s="57"/>
      <c r="Y1587" s="57"/>
      <c r="Z1587" s="57"/>
      <c r="AA1587" s="57"/>
      <c r="AB1587" s="57"/>
      <c r="AC1587" s="57"/>
      <c r="AD1587" s="57"/>
      <c r="AE1587" s="57"/>
      <c r="AF1587" s="57"/>
    </row>
    <row r="1588" spans="1:32" x14ac:dyDescent="0.2">
      <c r="A1588" s="57"/>
      <c r="B1588" s="57"/>
      <c r="C1588" s="57"/>
      <c r="D1588" s="57"/>
      <c r="E1588" s="57"/>
      <c r="F1588" s="985"/>
      <c r="G1588" s="57"/>
      <c r="H1588" s="57"/>
      <c r="I1588" s="990"/>
      <c r="J1588" s="57"/>
      <c r="K1588" s="57"/>
      <c r="L1588" s="57"/>
      <c r="M1588" s="57"/>
      <c r="N1588" s="57"/>
      <c r="O1588" s="57"/>
      <c r="P1588" s="57"/>
      <c r="Q1588" s="57"/>
      <c r="R1588" s="57"/>
      <c r="S1588" s="57"/>
      <c r="T1588" s="57"/>
      <c r="U1588" s="57"/>
      <c r="V1588" s="57"/>
      <c r="W1588" s="57"/>
      <c r="X1588" s="57"/>
      <c r="Y1588" s="57"/>
      <c r="Z1588" s="57"/>
      <c r="AA1588" s="57"/>
      <c r="AB1588" s="57"/>
      <c r="AC1588" s="57"/>
      <c r="AD1588" s="57"/>
      <c r="AE1588" s="57"/>
      <c r="AF1588" s="57"/>
    </row>
    <row r="1589" spans="1:32" x14ac:dyDescent="0.2">
      <c r="A1589" s="57"/>
      <c r="B1589" s="57"/>
      <c r="C1589" s="57"/>
      <c r="D1589" s="57"/>
      <c r="E1589" s="57"/>
      <c r="F1589" s="985"/>
      <c r="G1589" s="57"/>
      <c r="H1589" s="57"/>
      <c r="I1589" s="990"/>
      <c r="J1589" s="57"/>
      <c r="K1589" s="57"/>
      <c r="L1589" s="57"/>
      <c r="M1589" s="57"/>
      <c r="N1589" s="57"/>
      <c r="O1589" s="57"/>
      <c r="P1589" s="57"/>
      <c r="Q1589" s="57"/>
      <c r="R1589" s="57"/>
      <c r="S1589" s="57"/>
      <c r="T1589" s="57"/>
      <c r="U1589" s="57"/>
      <c r="V1589" s="57"/>
      <c r="W1589" s="57"/>
      <c r="X1589" s="57"/>
      <c r="Y1589" s="57"/>
      <c r="Z1589" s="57"/>
      <c r="AA1589" s="57"/>
      <c r="AB1589" s="57"/>
      <c r="AC1589" s="57"/>
      <c r="AD1589" s="57"/>
      <c r="AE1589" s="57"/>
      <c r="AF1589" s="57"/>
    </row>
    <row r="1590" spans="1:32" x14ac:dyDescent="0.2">
      <c r="A1590" s="57"/>
      <c r="B1590" s="57"/>
      <c r="C1590" s="57"/>
      <c r="D1590" s="57"/>
      <c r="E1590" s="57"/>
      <c r="F1590" s="985"/>
      <c r="G1590" s="57"/>
      <c r="H1590" s="57"/>
      <c r="I1590" s="990"/>
      <c r="J1590" s="57"/>
      <c r="K1590" s="57"/>
      <c r="L1590" s="57"/>
      <c r="M1590" s="57"/>
      <c r="N1590" s="57"/>
      <c r="O1590" s="57"/>
      <c r="P1590" s="57"/>
      <c r="Q1590" s="57"/>
      <c r="R1590" s="57"/>
      <c r="S1590" s="57"/>
      <c r="T1590" s="57"/>
      <c r="U1590" s="57"/>
      <c r="V1590" s="57"/>
      <c r="W1590" s="57"/>
      <c r="X1590" s="57"/>
      <c r="Y1590" s="57"/>
      <c r="Z1590" s="57"/>
      <c r="AA1590" s="57"/>
      <c r="AB1590" s="57"/>
      <c r="AC1590" s="57"/>
      <c r="AD1590" s="57"/>
      <c r="AE1590" s="57"/>
      <c r="AF1590" s="57"/>
    </row>
    <row r="1591" spans="1:32" x14ac:dyDescent="0.2">
      <c r="A1591" s="57"/>
      <c r="B1591" s="57"/>
      <c r="C1591" s="57"/>
      <c r="D1591" s="57"/>
      <c r="E1591" s="57"/>
      <c r="F1591" s="985"/>
      <c r="G1591" s="57"/>
      <c r="H1591" s="57"/>
      <c r="I1591" s="990"/>
      <c r="J1591" s="57"/>
      <c r="K1591" s="57"/>
      <c r="L1591" s="57"/>
      <c r="M1591" s="57"/>
      <c r="N1591" s="57"/>
      <c r="O1591" s="57"/>
      <c r="P1591" s="57"/>
      <c r="Q1591" s="57"/>
      <c r="R1591" s="57"/>
      <c r="S1591" s="57"/>
      <c r="T1591" s="57"/>
      <c r="U1591" s="57"/>
      <c r="V1591" s="57"/>
      <c r="W1591" s="57"/>
      <c r="X1591" s="57"/>
      <c r="Y1591" s="57"/>
      <c r="Z1591" s="57"/>
      <c r="AA1591" s="57"/>
      <c r="AB1591" s="57"/>
      <c r="AC1591" s="57"/>
      <c r="AD1591" s="57"/>
      <c r="AE1591" s="57"/>
      <c r="AF1591" s="57"/>
    </row>
    <row r="1592" spans="1:32" x14ac:dyDescent="0.2">
      <c r="A1592" s="57"/>
      <c r="B1592" s="57"/>
      <c r="C1592" s="57"/>
      <c r="D1592" s="57"/>
      <c r="E1592" s="57"/>
      <c r="F1592" s="985"/>
      <c r="G1592" s="57"/>
      <c r="H1592" s="57"/>
      <c r="I1592" s="990"/>
      <c r="J1592" s="57"/>
      <c r="K1592" s="57"/>
      <c r="L1592" s="57"/>
      <c r="M1592" s="57"/>
      <c r="N1592" s="57"/>
      <c r="O1592" s="57"/>
      <c r="P1592" s="57"/>
      <c r="Q1592" s="57"/>
      <c r="R1592" s="57"/>
      <c r="S1592" s="57"/>
      <c r="T1592" s="57"/>
      <c r="U1592" s="57"/>
      <c r="V1592" s="57"/>
      <c r="W1592" s="57"/>
      <c r="X1592" s="57"/>
      <c r="Y1592" s="57"/>
      <c r="Z1592" s="57"/>
      <c r="AA1592" s="57"/>
      <c r="AB1592" s="57"/>
      <c r="AC1592" s="57"/>
      <c r="AD1592" s="57"/>
      <c r="AE1592" s="57"/>
      <c r="AF1592" s="57"/>
    </row>
    <row r="1593" spans="1:32" x14ac:dyDescent="0.2">
      <c r="A1593" s="57"/>
      <c r="B1593" s="57"/>
      <c r="C1593" s="57"/>
      <c r="D1593" s="57"/>
      <c r="E1593" s="57"/>
      <c r="F1593" s="985"/>
      <c r="G1593" s="57"/>
      <c r="H1593" s="57"/>
      <c r="I1593" s="990"/>
      <c r="J1593" s="57"/>
      <c r="K1593" s="57"/>
      <c r="L1593" s="57"/>
      <c r="M1593" s="57"/>
      <c r="N1593" s="57"/>
      <c r="O1593" s="57"/>
      <c r="P1593" s="57"/>
      <c r="Q1593" s="57"/>
      <c r="R1593" s="57"/>
      <c r="S1593" s="57"/>
      <c r="T1593" s="57"/>
      <c r="U1593" s="57"/>
      <c r="V1593" s="57"/>
      <c r="W1593" s="57"/>
      <c r="X1593" s="57"/>
      <c r="Y1593" s="57"/>
      <c r="Z1593" s="57"/>
      <c r="AA1593" s="57"/>
      <c r="AB1593" s="57"/>
      <c r="AC1593" s="57"/>
      <c r="AD1593" s="57"/>
      <c r="AE1593" s="57"/>
      <c r="AF1593" s="57"/>
    </row>
    <row r="1594" spans="1:32" x14ac:dyDescent="0.2">
      <c r="A1594" s="57"/>
      <c r="B1594" s="57"/>
      <c r="C1594" s="57"/>
      <c r="D1594" s="57"/>
      <c r="E1594" s="57"/>
      <c r="F1594" s="985"/>
      <c r="G1594" s="57"/>
      <c r="H1594" s="57"/>
      <c r="I1594" s="990"/>
      <c r="J1594" s="57"/>
      <c r="K1594" s="57"/>
      <c r="L1594" s="57"/>
      <c r="M1594" s="57"/>
      <c r="N1594" s="57"/>
      <c r="O1594" s="57"/>
      <c r="P1594" s="57"/>
      <c r="Q1594" s="57"/>
      <c r="R1594" s="57"/>
      <c r="S1594" s="57"/>
      <c r="T1594" s="57"/>
      <c r="U1594" s="57"/>
      <c r="V1594" s="57"/>
      <c r="W1594" s="57"/>
      <c r="X1594" s="57"/>
      <c r="Y1594" s="57"/>
      <c r="Z1594" s="57"/>
      <c r="AA1594" s="57"/>
      <c r="AB1594" s="57"/>
      <c r="AC1594" s="57"/>
      <c r="AD1594" s="57"/>
      <c r="AE1594" s="57"/>
      <c r="AF1594" s="57"/>
    </row>
    <row r="1595" spans="1:32" x14ac:dyDescent="0.2">
      <c r="A1595" s="57"/>
      <c r="B1595" s="57"/>
      <c r="C1595" s="57"/>
      <c r="D1595" s="57"/>
      <c r="E1595" s="57"/>
      <c r="F1595" s="985"/>
      <c r="G1595" s="57"/>
      <c r="H1595" s="57"/>
      <c r="I1595" s="990"/>
      <c r="J1595" s="57"/>
      <c r="K1595" s="57"/>
      <c r="L1595" s="57"/>
      <c r="M1595" s="57"/>
      <c r="N1595" s="57"/>
      <c r="O1595" s="57"/>
      <c r="P1595" s="57"/>
      <c r="Q1595" s="57"/>
      <c r="R1595" s="57"/>
      <c r="S1595" s="57"/>
      <c r="T1595" s="57"/>
      <c r="U1595" s="57"/>
      <c r="V1595" s="57"/>
      <c r="W1595" s="57"/>
      <c r="X1595" s="57"/>
      <c r="Y1595" s="57"/>
      <c r="Z1595" s="57"/>
      <c r="AA1595" s="57"/>
      <c r="AB1595" s="57"/>
      <c r="AC1595" s="57"/>
      <c r="AD1595" s="57"/>
      <c r="AE1595" s="57"/>
      <c r="AF1595" s="57"/>
    </row>
    <row r="1596" spans="1:32" x14ac:dyDescent="0.2">
      <c r="A1596" s="57"/>
      <c r="B1596" s="57"/>
      <c r="C1596" s="57"/>
      <c r="D1596" s="57"/>
      <c r="E1596" s="57"/>
      <c r="F1596" s="985"/>
      <c r="G1596" s="57"/>
      <c r="H1596" s="57"/>
      <c r="I1596" s="990"/>
      <c r="J1596" s="57"/>
      <c r="K1596" s="57"/>
      <c r="L1596" s="57"/>
      <c r="M1596" s="57"/>
      <c r="N1596" s="57"/>
      <c r="O1596" s="57"/>
      <c r="P1596" s="57"/>
      <c r="Q1596" s="57"/>
      <c r="R1596" s="57"/>
      <c r="S1596" s="57"/>
      <c r="T1596" s="57"/>
      <c r="U1596" s="57"/>
      <c r="V1596" s="57"/>
      <c r="W1596" s="57"/>
      <c r="X1596" s="57"/>
      <c r="Y1596" s="57"/>
      <c r="Z1596" s="57"/>
      <c r="AA1596" s="57"/>
      <c r="AB1596" s="57"/>
      <c r="AC1596" s="57"/>
      <c r="AD1596" s="57"/>
      <c r="AE1596" s="57"/>
      <c r="AF1596" s="57"/>
    </row>
    <row r="1597" spans="1:32" x14ac:dyDescent="0.2">
      <c r="A1597" s="57"/>
      <c r="B1597" s="57"/>
      <c r="C1597" s="57"/>
      <c r="D1597" s="57"/>
      <c r="E1597" s="57"/>
      <c r="F1597" s="985"/>
      <c r="G1597" s="57"/>
      <c r="H1597" s="57"/>
      <c r="I1597" s="990"/>
      <c r="J1597" s="57"/>
      <c r="K1597" s="57"/>
      <c r="L1597" s="57"/>
      <c r="M1597" s="57"/>
      <c r="N1597" s="57"/>
      <c r="O1597" s="57"/>
      <c r="P1597" s="57"/>
      <c r="Q1597" s="57"/>
      <c r="R1597" s="57"/>
      <c r="S1597" s="57"/>
      <c r="T1597" s="57"/>
      <c r="U1597" s="57"/>
      <c r="V1597" s="57"/>
      <c r="W1597" s="57"/>
      <c r="X1597" s="57"/>
      <c r="Y1597" s="57"/>
      <c r="Z1597" s="57"/>
      <c r="AA1597" s="57"/>
      <c r="AB1597" s="57"/>
      <c r="AC1597" s="57"/>
      <c r="AD1597" s="57"/>
      <c r="AE1597" s="57"/>
      <c r="AF1597" s="57"/>
    </row>
    <row r="1598" spans="1:32" x14ac:dyDescent="0.2">
      <c r="A1598" s="57"/>
      <c r="B1598" s="57"/>
      <c r="C1598" s="57"/>
      <c r="D1598" s="57"/>
      <c r="E1598" s="57"/>
      <c r="F1598" s="985"/>
      <c r="G1598" s="57"/>
      <c r="H1598" s="57"/>
      <c r="I1598" s="990"/>
      <c r="J1598" s="57"/>
      <c r="K1598" s="57"/>
      <c r="L1598" s="57"/>
      <c r="M1598" s="57"/>
      <c r="N1598" s="57"/>
      <c r="O1598" s="57"/>
      <c r="P1598" s="57"/>
      <c r="Q1598" s="57"/>
      <c r="R1598" s="57"/>
      <c r="S1598" s="57"/>
      <c r="T1598" s="57"/>
      <c r="U1598" s="57"/>
      <c r="V1598" s="57"/>
      <c r="W1598" s="57"/>
      <c r="X1598" s="57"/>
      <c r="Y1598" s="57"/>
      <c r="Z1598" s="57"/>
      <c r="AA1598" s="57"/>
      <c r="AB1598" s="57"/>
      <c r="AC1598" s="57"/>
      <c r="AD1598" s="57"/>
      <c r="AE1598" s="57"/>
      <c r="AF1598" s="57"/>
    </row>
    <row r="1599" spans="1:32" x14ac:dyDescent="0.2">
      <c r="A1599" s="57"/>
      <c r="B1599" s="57"/>
      <c r="C1599" s="57"/>
      <c r="D1599" s="57"/>
      <c r="E1599" s="57"/>
      <c r="F1599" s="985"/>
      <c r="G1599" s="57"/>
      <c r="H1599" s="57"/>
      <c r="I1599" s="990"/>
      <c r="J1599" s="57"/>
      <c r="K1599" s="57"/>
      <c r="L1599" s="57"/>
      <c r="M1599" s="57"/>
      <c r="N1599" s="57"/>
      <c r="O1599" s="57"/>
      <c r="P1599" s="57"/>
      <c r="Q1599" s="57"/>
      <c r="R1599" s="57"/>
      <c r="S1599" s="57"/>
      <c r="T1599" s="57"/>
      <c r="U1599" s="57"/>
      <c r="V1599" s="57"/>
      <c r="W1599" s="57"/>
      <c r="X1599" s="57"/>
      <c r="Y1599" s="57"/>
      <c r="Z1599" s="57"/>
      <c r="AA1599" s="57"/>
      <c r="AB1599" s="57"/>
      <c r="AC1599" s="57"/>
      <c r="AD1599" s="57"/>
      <c r="AE1599" s="57"/>
      <c r="AF1599" s="57"/>
    </row>
    <row r="1600" spans="1:32" x14ac:dyDescent="0.2">
      <c r="A1600" s="57"/>
      <c r="B1600" s="57"/>
      <c r="C1600" s="57"/>
      <c r="D1600" s="57"/>
      <c r="E1600" s="57"/>
      <c r="F1600" s="985"/>
      <c r="G1600" s="57"/>
      <c r="H1600" s="57"/>
      <c r="I1600" s="990"/>
      <c r="J1600" s="57"/>
      <c r="K1600" s="57"/>
      <c r="L1600" s="57"/>
      <c r="M1600" s="57"/>
      <c r="N1600" s="57"/>
      <c r="O1600" s="57"/>
      <c r="P1600" s="57"/>
      <c r="Q1600" s="57"/>
      <c r="R1600" s="57"/>
      <c r="S1600" s="57"/>
      <c r="T1600" s="57"/>
      <c r="U1600" s="57"/>
      <c r="V1600" s="57"/>
      <c r="W1600" s="57"/>
      <c r="X1600" s="57"/>
      <c r="Y1600" s="57"/>
      <c r="Z1600" s="57"/>
      <c r="AA1600" s="57"/>
      <c r="AB1600" s="57"/>
      <c r="AC1600" s="57"/>
      <c r="AD1600" s="57"/>
      <c r="AE1600" s="57"/>
      <c r="AF1600" s="57"/>
    </row>
    <row r="1601" spans="1:32" x14ac:dyDescent="0.2">
      <c r="A1601" s="57"/>
      <c r="B1601" s="57"/>
      <c r="C1601" s="57"/>
      <c r="D1601" s="57"/>
      <c r="E1601" s="57"/>
      <c r="F1601" s="985"/>
      <c r="G1601" s="57"/>
      <c r="H1601" s="57"/>
      <c r="I1601" s="990"/>
      <c r="J1601" s="57"/>
      <c r="K1601" s="57"/>
      <c r="L1601" s="57"/>
      <c r="M1601" s="57"/>
      <c r="N1601" s="57"/>
      <c r="O1601" s="57"/>
      <c r="P1601" s="57"/>
      <c r="Q1601" s="57"/>
      <c r="R1601" s="57"/>
      <c r="S1601" s="57"/>
      <c r="T1601" s="57"/>
      <c r="U1601" s="57"/>
      <c r="V1601" s="57"/>
      <c r="W1601" s="57"/>
      <c r="X1601" s="57"/>
      <c r="Y1601" s="57"/>
      <c r="Z1601" s="57"/>
      <c r="AA1601" s="57"/>
      <c r="AB1601" s="57"/>
      <c r="AC1601" s="57"/>
      <c r="AD1601" s="57"/>
      <c r="AE1601" s="57"/>
      <c r="AF1601" s="57"/>
    </row>
    <row r="1602" spans="1:32" x14ac:dyDescent="0.2">
      <c r="A1602" s="57"/>
      <c r="B1602" s="57"/>
      <c r="C1602" s="57"/>
      <c r="D1602" s="57"/>
      <c r="E1602" s="57"/>
      <c r="F1602" s="985"/>
      <c r="G1602" s="57"/>
      <c r="H1602" s="57"/>
      <c r="I1602" s="990"/>
      <c r="J1602" s="57"/>
      <c r="K1602" s="57"/>
      <c r="L1602" s="57"/>
      <c r="M1602" s="57"/>
      <c r="N1602" s="57"/>
      <c r="O1602" s="57"/>
      <c r="P1602" s="57"/>
      <c r="Q1602" s="57"/>
      <c r="R1602" s="57"/>
      <c r="S1602" s="57"/>
      <c r="T1602" s="57"/>
      <c r="U1602" s="57"/>
      <c r="V1602" s="57"/>
      <c r="W1602" s="57"/>
      <c r="X1602" s="57"/>
      <c r="Y1602" s="57"/>
      <c r="Z1602" s="57"/>
      <c r="AA1602" s="57"/>
      <c r="AB1602" s="57"/>
      <c r="AC1602" s="57"/>
      <c r="AD1602" s="57"/>
      <c r="AE1602" s="57"/>
      <c r="AF1602" s="57"/>
    </row>
    <row r="1603" spans="1:32" x14ac:dyDescent="0.2">
      <c r="A1603" s="57"/>
      <c r="B1603" s="57"/>
      <c r="C1603" s="57"/>
      <c r="D1603" s="57"/>
      <c r="E1603" s="57"/>
      <c r="F1603" s="985"/>
      <c r="G1603" s="57"/>
      <c r="H1603" s="57"/>
      <c r="I1603" s="990"/>
      <c r="J1603" s="57"/>
      <c r="K1603" s="57"/>
      <c r="L1603" s="57"/>
      <c r="M1603" s="57"/>
      <c r="N1603" s="57"/>
      <c r="O1603" s="57"/>
      <c r="P1603" s="57"/>
      <c r="Q1603" s="57"/>
      <c r="R1603" s="57"/>
      <c r="S1603" s="57"/>
      <c r="T1603" s="57"/>
      <c r="U1603" s="57"/>
      <c r="V1603" s="57"/>
      <c r="W1603" s="57"/>
      <c r="X1603" s="57"/>
      <c r="Y1603" s="57"/>
      <c r="Z1603" s="57"/>
      <c r="AA1603" s="57"/>
      <c r="AB1603" s="57"/>
      <c r="AC1603" s="57"/>
      <c r="AD1603" s="57"/>
      <c r="AE1603" s="57"/>
      <c r="AF1603" s="57"/>
    </row>
    <row r="1604" spans="1:32" x14ac:dyDescent="0.2">
      <c r="A1604" s="57"/>
      <c r="B1604" s="57"/>
      <c r="C1604" s="57"/>
      <c r="D1604" s="57"/>
      <c r="E1604" s="57"/>
      <c r="F1604" s="985"/>
      <c r="G1604" s="57"/>
      <c r="H1604" s="57"/>
      <c r="I1604" s="990"/>
      <c r="J1604" s="57"/>
      <c r="K1604" s="57"/>
      <c r="L1604" s="57"/>
      <c r="M1604" s="57"/>
      <c r="N1604" s="57"/>
      <c r="O1604" s="57"/>
      <c r="P1604" s="57"/>
      <c r="Q1604" s="57"/>
      <c r="R1604" s="57"/>
      <c r="S1604" s="57"/>
      <c r="T1604" s="57"/>
      <c r="U1604" s="57"/>
      <c r="V1604" s="57"/>
      <c r="W1604" s="57"/>
      <c r="X1604" s="57"/>
      <c r="Y1604" s="57"/>
      <c r="Z1604" s="57"/>
      <c r="AA1604" s="57"/>
      <c r="AB1604" s="57"/>
      <c r="AC1604" s="57"/>
      <c r="AD1604" s="57"/>
      <c r="AE1604" s="57"/>
      <c r="AF1604" s="57"/>
    </row>
    <row r="1605" spans="1:32" x14ac:dyDescent="0.2">
      <c r="A1605" s="57"/>
      <c r="B1605" s="57"/>
      <c r="C1605" s="57"/>
      <c r="D1605" s="57"/>
      <c r="E1605" s="57"/>
      <c r="F1605" s="985"/>
      <c r="G1605" s="57"/>
      <c r="H1605" s="57"/>
      <c r="I1605" s="990"/>
      <c r="J1605" s="57"/>
      <c r="K1605" s="57"/>
      <c r="L1605" s="57"/>
      <c r="M1605" s="57"/>
      <c r="N1605" s="57"/>
      <c r="O1605" s="57"/>
      <c r="P1605" s="57"/>
      <c r="Q1605" s="57"/>
      <c r="R1605" s="57"/>
      <c r="S1605" s="57"/>
      <c r="T1605" s="57"/>
      <c r="U1605" s="57"/>
      <c r="V1605" s="57"/>
      <c r="W1605" s="57"/>
      <c r="X1605" s="57"/>
      <c r="Y1605" s="57"/>
      <c r="Z1605" s="57"/>
      <c r="AA1605" s="57"/>
      <c r="AB1605" s="57"/>
      <c r="AC1605" s="57"/>
      <c r="AD1605" s="57"/>
      <c r="AE1605" s="57"/>
      <c r="AF1605" s="57"/>
    </row>
    <row r="1606" spans="1:32" x14ac:dyDescent="0.2">
      <c r="A1606" s="57"/>
      <c r="B1606" s="57"/>
      <c r="C1606" s="57"/>
      <c r="D1606" s="57"/>
      <c r="E1606" s="57"/>
      <c r="F1606" s="985"/>
      <c r="G1606" s="57"/>
      <c r="H1606" s="57"/>
      <c r="I1606" s="990"/>
      <c r="J1606" s="57"/>
      <c r="K1606" s="57"/>
      <c r="L1606" s="57"/>
      <c r="M1606" s="57"/>
      <c r="N1606" s="57"/>
      <c r="O1606" s="57"/>
      <c r="P1606" s="57"/>
      <c r="Q1606" s="57"/>
      <c r="R1606" s="57"/>
      <c r="S1606" s="57"/>
      <c r="T1606" s="57"/>
      <c r="U1606" s="57"/>
      <c r="V1606" s="57"/>
      <c r="W1606" s="57"/>
      <c r="X1606" s="57"/>
      <c r="Y1606" s="57"/>
      <c r="Z1606" s="57"/>
      <c r="AA1606" s="57"/>
      <c r="AB1606" s="57"/>
      <c r="AC1606" s="57"/>
      <c r="AD1606" s="57"/>
      <c r="AE1606" s="57"/>
      <c r="AF1606" s="57"/>
    </row>
    <row r="1607" spans="1:32" x14ac:dyDescent="0.2">
      <c r="A1607" s="57"/>
      <c r="B1607" s="57"/>
      <c r="C1607" s="57"/>
      <c r="D1607" s="57"/>
      <c r="E1607" s="57"/>
      <c r="F1607" s="985"/>
      <c r="G1607" s="57"/>
      <c r="H1607" s="57"/>
      <c r="I1607" s="990"/>
      <c r="J1607" s="57"/>
      <c r="K1607" s="57"/>
      <c r="L1607" s="57"/>
      <c r="M1607" s="57"/>
      <c r="N1607" s="57"/>
      <c r="O1607" s="57"/>
      <c r="P1607" s="57"/>
      <c r="Q1607" s="57"/>
      <c r="R1607" s="57"/>
      <c r="S1607" s="57"/>
      <c r="T1607" s="57"/>
      <c r="U1607" s="57"/>
      <c r="V1607" s="57"/>
      <c r="W1607" s="57"/>
      <c r="X1607" s="57"/>
      <c r="Y1607" s="57"/>
      <c r="Z1607" s="57"/>
      <c r="AA1607" s="57"/>
      <c r="AB1607" s="57"/>
      <c r="AC1607" s="57"/>
      <c r="AD1607" s="57"/>
      <c r="AE1607" s="57"/>
      <c r="AF1607" s="57"/>
    </row>
    <row r="1608" spans="1:32" x14ac:dyDescent="0.2">
      <c r="A1608" s="57"/>
      <c r="B1608" s="57"/>
      <c r="C1608" s="57"/>
      <c r="D1608" s="57"/>
      <c r="E1608" s="57"/>
      <c r="F1608" s="985"/>
      <c r="G1608" s="57"/>
      <c r="H1608" s="57"/>
      <c r="I1608" s="990"/>
      <c r="J1608" s="57"/>
      <c r="K1608" s="57"/>
      <c r="L1608" s="57"/>
      <c r="M1608" s="57"/>
      <c r="N1608" s="57"/>
      <c r="O1608" s="57"/>
      <c r="P1608" s="57"/>
      <c r="Q1608" s="57"/>
      <c r="R1608" s="57"/>
      <c r="S1608" s="57"/>
      <c r="T1608" s="57"/>
      <c r="U1608" s="57"/>
      <c r="V1608" s="57"/>
      <c r="W1608" s="57"/>
      <c r="X1608" s="57"/>
      <c r="Y1608" s="57"/>
      <c r="Z1608" s="57"/>
      <c r="AA1608" s="57"/>
      <c r="AB1608" s="57"/>
      <c r="AC1608" s="57"/>
      <c r="AD1608" s="57"/>
      <c r="AE1608" s="57"/>
      <c r="AF1608" s="57"/>
    </row>
    <row r="1609" spans="1:32" x14ac:dyDescent="0.2">
      <c r="A1609" s="57"/>
      <c r="B1609" s="57"/>
      <c r="C1609" s="57"/>
      <c r="D1609" s="57"/>
      <c r="E1609" s="57"/>
      <c r="F1609" s="985"/>
      <c r="G1609" s="57"/>
      <c r="H1609" s="57"/>
      <c r="I1609" s="990"/>
      <c r="J1609" s="57"/>
      <c r="K1609" s="57"/>
      <c r="L1609" s="57"/>
      <c r="M1609" s="57"/>
      <c r="N1609" s="57"/>
      <c r="O1609" s="57"/>
      <c r="P1609" s="57"/>
      <c r="Q1609" s="57"/>
      <c r="R1609" s="57"/>
      <c r="S1609" s="57"/>
      <c r="T1609" s="57"/>
      <c r="U1609" s="57"/>
      <c r="V1609" s="57"/>
      <c r="W1609" s="57"/>
      <c r="X1609" s="57"/>
      <c r="Y1609" s="57"/>
      <c r="Z1609" s="57"/>
      <c r="AA1609" s="57"/>
      <c r="AB1609" s="57"/>
      <c r="AC1609" s="57"/>
      <c r="AD1609" s="57"/>
      <c r="AE1609" s="57"/>
      <c r="AF1609" s="57"/>
    </row>
    <row r="1610" spans="1:32" x14ac:dyDescent="0.2">
      <c r="A1610" s="57"/>
      <c r="B1610" s="57"/>
      <c r="C1610" s="57"/>
      <c r="D1610" s="57"/>
      <c r="E1610" s="57"/>
      <c r="F1610" s="985"/>
      <c r="G1610" s="57"/>
      <c r="H1610" s="57"/>
      <c r="I1610" s="990"/>
      <c r="J1610" s="57"/>
      <c r="K1610" s="57"/>
      <c r="L1610" s="57"/>
      <c r="M1610" s="57"/>
      <c r="N1610" s="57"/>
      <c r="O1610" s="57"/>
      <c r="P1610" s="57"/>
      <c r="Q1610" s="57"/>
      <c r="R1610" s="57"/>
      <c r="S1610" s="57"/>
      <c r="T1610" s="57"/>
      <c r="U1610" s="57"/>
      <c r="V1610" s="57"/>
      <c r="W1610" s="57"/>
      <c r="X1610" s="57"/>
      <c r="Y1610" s="57"/>
      <c r="Z1610" s="57"/>
      <c r="AA1610" s="57"/>
      <c r="AB1610" s="57"/>
      <c r="AC1610" s="57"/>
      <c r="AD1610" s="57"/>
      <c r="AE1610" s="57"/>
      <c r="AF1610" s="57"/>
    </row>
    <row r="1611" spans="1:32" x14ac:dyDescent="0.2">
      <c r="A1611" s="57"/>
      <c r="B1611" s="57"/>
      <c r="C1611" s="57"/>
      <c r="D1611" s="57"/>
      <c r="E1611" s="57"/>
      <c r="F1611" s="985"/>
      <c r="G1611" s="57"/>
      <c r="H1611" s="57"/>
      <c r="I1611" s="990"/>
      <c r="J1611" s="57"/>
      <c r="K1611" s="57"/>
      <c r="L1611" s="57"/>
      <c r="M1611" s="57"/>
      <c r="N1611" s="57"/>
      <c r="O1611" s="57"/>
      <c r="P1611" s="57"/>
      <c r="Q1611" s="57"/>
      <c r="R1611" s="57"/>
      <c r="S1611" s="57"/>
      <c r="T1611" s="57"/>
      <c r="U1611" s="57"/>
      <c r="V1611" s="57"/>
      <c r="W1611" s="57"/>
      <c r="X1611" s="57"/>
      <c r="Y1611" s="57"/>
      <c r="Z1611" s="57"/>
      <c r="AA1611" s="57"/>
      <c r="AB1611" s="57"/>
      <c r="AC1611" s="57"/>
      <c r="AD1611" s="57"/>
      <c r="AE1611" s="57"/>
      <c r="AF1611" s="57"/>
    </row>
    <row r="1612" spans="1:32" x14ac:dyDescent="0.2">
      <c r="A1612" s="57"/>
      <c r="B1612" s="57"/>
      <c r="C1612" s="57"/>
      <c r="D1612" s="57"/>
      <c r="E1612" s="57"/>
      <c r="F1612" s="985"/>
      <c r="G1612" s="57"/>
      <c r="H1612" s="57"/>
      <c r="I1612" s="990"/>
      <c r="J1612" s="57"/>
      <c r="K1612" s="57"/>
      <c r="L1612" s="57"/>
      <c r="M1612" s="57"/>
      <c r="N1612" s="57"/>
      <c r="O1612" s="57"/>
      <c r="P1612" s="57"/>
      <c r="Q1612" s="57"/>
      <c r="R1612" s="57"/>
      <c r="S1612" s="57"/>
      <c r="T1612" s="57"/>
      <c r="U1612" s="57"/>
      <c r="V1612" s="57"/>
      <c r="W1612" s="57"/>
      <c r="X1612" s="57"/>
      <c r="Y1612" s="57"/>
      <c r="Z1612" s="57"/>
      <c r="AA1612" s="57"/>
      <c r="AB1612" s="57"/>
      <c r="AC1612" s="57"/>
      <c r="AD1612" s="57"/>
      <c r="AE1612" s="57"/>
      <c r="AF1612" s="57"/>
    </row>
    <row r="1613" spans="1:32" x14ac:dyDescent="0.2">
      <c r="A1613" s="57"/>
      <c r="B1613" s="57"/>
      <c r="C1613" s="57"/>
      <c r="D1613" s="57"/>
      <c r="E1613" s="57"/>
      <c r="F1613" s="985"/>
      <c r="G1613" s="57"/>
      <c r="H1613" s="57"/>
      <c r="I1613" s="990"/>
      <c r="J1613" s="57"/>
      <c r="K1613" s="57"/>
      <c r="L1613" s="57"/>
      <c r="M1613" s="57"/>
      <c r="N1613" s="57"/>
      <c r="O1613" s="57"/>
      <c r="P1613" s="57"/>
      <c r="Q1613" s="57"/>
      <c r="R1613" s="57"/>
      <c r="S1613" s="57"/>
      <c r="T1613" s="57"/>
      <c r="U1613" s="57"/>
      <c r="V1613" s="57"/>
      <c r="W1613" s="57"/>
      <c r="X1613" s="57"/>
      <c r="Y1613" s="57"/>
      <c r="Z1613" s="57"/>
      <c r="AA1613" s="57"/>
      <c r="AB1613" s="57"/>
      <c r="AC1613" s="57"/>
      <c r="AD1613" s="57"/>
      <c r="AE1613" s="57"/>
      <c r="AF1613" s="57"/>
    </row>
    <row r="1614" spans="1:32" x14ac:dyDescent="0.2">
      <c r="A1614" s="57"/>
      <c r="B1614" s="57"/>
      <c r="C1614" s="57"/>
      <c r="D1614" s="57"/>
      <c r="E1614" s="57"/>
      <c r="F1614" s="985"/>
      <c r="G1614" s="57"/>
      <c r="H1614" s="57"/>
      <c r="I1614" s="990"/>
      <c r="J1614" s="57"/>
      <c r="K1614" s="57"/>
      <c r="L1614" s="57"/>
      <c r="M1614" s="57"/>
      <c r="N1614" s="57"/>
      <c r="O1614" s="57"/>
      <c r="P1614" s="57"/>
      <c r="Q1614" s="57"/>
      <c r="R1614" s="57"/>
      <c r="S1614" s="57"/>
      <c r="T1614" s="57"/>
      <c r="U1614" s="57"/>
      <c r="V1614" s="57"/>
      <c r="W1614" s="57"/>
      <c r="X1614" s="57"/>
      <c r="Y1614" s="57"/>
      <c r="Z1614" s="57"/>
      <c r="AA1614" s="57"/>
      <c r="AB1614" s="57"/>
      <c r="AC1614" s="57"/>
      <c r="AD1614" s="57"/>
      <c r="AE1614" s="57"/>
      <c r="AF1614" s="57"/>
    </row>
    <row r="1615" spans="1:32" x14ac:dyDescent="0.2">
      <c r="A1615" s="57"/>
      <c r="B1615" s="57"/>
      <c r="C1615" s="57"/>
      <c r="D1615" s="57"/>
      <c r="E1615" s="57"/>
      <c r="F1615" s="985"/>
      <c r="G1615" s="57"/>
      <c r="H1615" s="57"/>
      <c r="I1615" s="990"/>
      <c r="J1615" s="57"/>
      <c r="K1615" s="57"/>
      <c r="L1615" s="57"/>
      <c r="M1615" s="57"/>
      <c r="N1615" s="57"/>
      <c r="O1615" s="57"/>
      <c r="P1615" s="57"/>
      <c r="Q1615" s="57"/>
      <c r="R1615" s="57"/>
      <c r="S1615" s="57"/>
      <c r="T1615" s="57"/>
      <c r="U1615" s="57"/>
      <c r="V1615" s="57"/>
      <c r="W1615" s="57"/>
      <c r="X1615" s="57"/>
      <c r="Y1615" s="57"/>
      <c r="Z1615" s="57"/>
      <c r="AA1615" s="57"/>
      <c r="AB1615" s="57"/>
      <c r="AC1615" s="57"/>
      <c r="AD1615" s="57"/>
      <c r="AE1615" s="57"/>
      <c r="AF1615" s="57"/>
    </row>
    <row r="1616" spans="1:32" x14ac:dyDescent="0.2">
      <c r="A1616" s="57"/>
      <c r="B1616" s="57"/>
      <c r="C1616" s="57"/>
      <c r="D1616" s="57"/>
      <c r="E1616" s="57"/>
      <c r="F1616" s="985"/>
      <c r="G1616" s="57"/>
      <c r="H1616" s="57"/>
      <c r="I1616" s="990"/>
      <c r="J1616" s="57"/>
      <c r="K1616" s="57"/>
      <c r="L1616" s="57"/>
      <c r="M1616" s="57"/>
      <c r="N1616" s="57"/>
      <c r="O1616" s="57"/>
      <c r="P1616" s="57"/>
      <c r="Q1616" s="57"/>
      <c r="R1616" s="57"/>
      <c r="S1616" s="57"/>
      <c r="T1616" s="57"/>
      <c r="U1616" s="57"/>
      <c r="V1616" s="57"/>
      <c r="W1616" s="57"/>
      <c r="X1616" s="57"/>
      <c r="Y1616" s="57"/>
      <c r="Z1616" s="57"/>
      <c r="AA1616" s="57"/>
      <c r="AB1616" s="57"/>
      <c r="AC1616" s="57"/>
      <c r="AD1616" s="57"/>
      <c r="AE1616" s="57"/>
      <c r="AF1616" s="57"/>
    </row>
    <row r="1617" spans="1:32" x14ac:dyDescent="0.2">
      <c r="A1617" s="57"/>
      <c r="B1617" s="57"/>
      <c r="C1617" s="57"/>
      <c r="D1617" s="57"/>
      <c r="E1617" s="57"/>
      <c r="F1617" s="985"/>
      <c r="G1617" s="57"/>
      <c r="H1617" s="57"/>
      <c r="I1617" s="990"/>
      <c r="J1617" s="57"/>
      <c r="K1617" s="57"/>
      <c r="L1617" s="57"/>
      <c r="M1617" s="57"/>
      <c r="N1617" s="57"/>
      <c r="O1617" s="57"/>
      <c r="P1617" s="57"/>
      <c r="Q1617" s="57"/>
      <c r="R1617" s="57"/>
      <c r="S1617" s="57"/>
      <c r="T1617" s="57"/>
      <c r="U1617" s="57"/>
      <c r="V1617" s="57"/>
      <c r="W1617" s="57"/>
      <c r="X1617" s="57"/>
      <c r="Y1617" s="57"/>
      <c r="Z1617" s="57"/>
      <c r="AA1617" s="57"/>
      <c r="AB1617" s="57"/>
      <c r="AC1617" s="57"/>
      <c r="AD1617" s="57"/>
      <c r="AE1617" s="57"/>
      <c r="AF1617" s="57"/>
    </row>
    <row r="1618" spans="1:32" x14ac:dyDescent="0.2">
      <c r="A1618" s="57"/>
      <c r="B1618" s="57"/>
      <c r="C1618" s="57"/>
      <c r="D1618" s="57"/>
      <c r="E1618" s="57"/>
      <c r="F1618" s="985"/>
      <c r="G1618" s="57"/>
      <c r="H1618" s="57"/>
      <c r="I1618" s="990"/>
      <c r="J1618" s="57"/>
      <c r="K1618" s="57"/>
      <c r="L1618" s="57"/>
      <c r="M1618" s="57"/>
      <c r="N1618" s="57"/>
      <c r="O1618" s="57"/>
      <c r="P1618" s="57"/>
      <c r="Q1618" s="57"/>
      <c r="R1618" s="57"/>
      <c r="S1618" s="57"/>
      <c r="T1618" s="57"/>
      <c r="U1618" s="57"/>
      <c r="V1618" s="57"/>
      <c r="W1618" s="57"/>
      <c r="X1618" s="57"/>
      <c r="Y1618" s="57"/>
      <c r="Z1618" s="57"/>
      <c r="AA1618" s="57"/>
      <c r="AB1618" s="57"/>
      <c r="AC1618" s="57"/>
      <c r="AD1618" s="57"/>
      <c r="AE1618" s="57"/>
      <c r="AF1618" s="57"/>
    </row>
    <row r="1619" spans="1:32" x14ac:dyDescent="0.2">
      <c r="A1619" s="57"/>
      <c r="B1619" s="57"/>
      <c r="C1619" s="57"/>
      <c r="D1619" s="57"/>
      <c r="E1619" s="57"/>
      <c r="F1619" s="985"/>
      <c r="G1619" s="57"/>
      <c r="H1619" s="57"/>
      <c r="I1619" s="990"/>
      <c r="J1619" s="57"/>
      <c r="K1619" s="57"/>
      <c r="L1619" s="57"/>
      <c r="M1619" s="57"/>
      <c r="N1619" s="57"/>
      <c r="O1619" s="57"/>
      <c r="P1619" s="57"/>
      <c r="Q1619" s="57"/>
      <c r="R1619" s="57"/>
      <c r="S1619" s="57"/>
      <c r="T1619" s="57"/>
      <c r="U1619" s="57"/>
      <c r="V1619" s="57"/>
      <c r="W1619" s="57"/>
      <c r="X1619" s="57"/>
      <c r="Y1619" s="57"/>
      <c r="Z1619" s="57"/>
      <c r="AA1619" s="57"/>
      <c r="AB1619" s="57"/>
      <c r="AC1619" s="57"/>
      <c r="AD1619" s="57"/>
      <c r="AE1619" s="57"/>
      <c r="AF1619" s="57"/>
    </row>
    <row r="1620" spans="1:32" x14ac:dyDescent="0.2">
      <c r="A1620" s="57"/>
      <c r="B1620" s="57"/>
      <c r="C1620" s="57"/>
      <c r="D1620" s="57"/>
      <c r="E1620" s="57"/>
      <c r="F1620" s="985"/>
      <c r="G1620" s="57"/>
      <c r="H1620" s="57"/>
      <c r="I1620" s="990"/>
      <c r="J1620" s="57"/>
      <c r="K1620" s="57"/>
      <c r="L1620" s="57"/>
      <c r="M1620" s="57"/>
      <c r="N1620" s="57"/>
      <c r="O1620" s="57"/>
      <c r="P1620" s="57"/>
      <c r="Q1620" s="57"/>
      <c r="R1620" s="57"/>
      <c r="S1620" s="57"/>
      <c r="T1620" s="57"/>
      <c r="U1620" s="57"/>
      <c r="V1620" s="57"/>
      <c r="W1620" s="57"/>
      <c r="X1620" s="57"/>
      <c r="Y1620" s="57"/>
      <c r="Z1620" s="57"/>
      <c r="AA1620" s="57"/>
      <c r="AB1620" s="57"/>
      <c r="AC1620" s="57"/>
      <c r="AD1620" s="57"/>
      <c r="AE1620" s="57"/>
      <c r="AF1620" s="57"/>
    </row>
    <row r="1621" spans="1:32" x14ac:dyDescent="0.2">
      <c r="A1621" s="57"/>
      <c r="B1621" s="57"/>
      <c r="C1621" s="57"/>
      <c r="D1621" s="57"/>
      <c r="E1621" s="57"/>
      <c r="F1621" s="985"/>
      <c r="G1621" s="57"/>
      <c r="H1621" s="57"/>
      <c r="I1621" s="990"/>
      <c r="J1621" s="57"/>
      <c r="K1621" s="57"/>
      <c r="L1621" s="57"/>
      <c r="M1621" s="57"/>
      <c r="N1621" s="57"/>
      <c r="O1621" s="57"/>
      <c r="P1621" s="57"/>
      <c r="Q1621" s="57"/>
      <c r="R1621" s="57"/>
      <c r="S1621" s="57"/>
      <c r="T1621" s="57"/>
      <c r="U1621" s="57"/>
      <c r="V1621" s="57"/>
      <c r="W1621" s="57"/>
      <c r="X1621" s="57"/>
      <c r="Y1621" s="57"/>
      <c r="Z1621" s="57"/>
      <c r="AA1621" s="57"/>
      <c r="AB1621" s="57"/>
      <c r="AC1621" s="57"/>
      <c r="AD1621" s="57"/>
      <c r="AE1621" s="57"/>
      <c r="AF1621" s="57"/>
    </row>
    <row r="1622" spans="1:32" x14ac:dyDescent="0.2">
      <c r="A1622" s="57"/>
      <c r="B1622" s="57"/>
      <c r="C1622" s="57"/>
      <c r="D1622" s="57"/>
      <c r="E1622" s="57"/>
      <c r="F1622" s="985"/>
      <c r="G1622" s="57"/>
      <c r="H1622" s="57"/>
      <c r="I1622" s="990"/>
      <c r="J1622" s="57"/>
      <c r="K1622" s="57"/>
      <c r="L1622" s="57"/>
      <c r="M1622" s="57"/>
      <c r="N1622" s="57"/>
      <c r="O1622" s="57"/>
      <c r="P1622" s="57"/>
      <c r="Q1622" s="57"/>
      <c r="R1622" s="57"/>
      <c r="S1622" s="57"/>
      <c r="T1622" s="57"/>
      <c r="U1622" s="57"/>
      <c r="V1622" s="57"/>
      <c r="W1622" s="57"/>
      <c r="X1622" s="57"/>
      <c r="Y1622" s="57"/>
      <c r="Z1622" s="57"/>
      <c r="AA1622" s="57"/>
      <c r="AB1622" s="57"/>
      <c r="AC1622" s="57"/>
      <c r="AD1622" s="57"/>
      <c r="AE1622" s="57"/>
      <c r="AF1622" s="57"/>
    </row>
    <row r="1623" spans="1:32" x14ac:dyDescent="0.2">
      <c r="A1623" s="57"/>
      <c r="B1623" s="57"/>
      <c r="C1623" s="57"/>
      <c r="D1623" s="57"/>
      <c r="E1623" s="57"/>
      <c r="F1623" s="985"/>
      <c r="G1623" s="57"/>
      <c r="H1623" s="57"/>
      <c r="I1623" s="990"/>
      <c r="J1623" s="57"/>
      <c r="K1623" s="57"/>
      <c r="L1623" s="57"/>
      <c r="M1623" s="57"/>
      <c r="N1623" s="57"/>
      <c r="O1623" s="57"/>
      <c r="P1623" s="57"/>
      <c r="Q1623" s="57"/>
      <c r="R1623" s="57"/>
      <c r="S1623" s="57"/>
      <c r="T1623" s="57"/>
      <c r="U1623" s="57"/>
      <c r="V1623" s="57"/>
      <c r="W1623" s="57"/>
      <c r="X1623" s="57"/>
      <c r="Y1623" s="57"/>
      <c r="Z1623" s="57"/>
      <c r="AA1623" s="57"/>
      <c r="AB1623" s="57"/>
      <c r="AC1623" s="57"/>
      <c r="AD1623" s="57"/>
      <c r="AE1623" s="57"/>
      <c r="AF1623" s="57"/>
    </row>
    <row r="1624" spans="1:32" x14ac:dyDescent="0.2">
      <c r="A1624" s="57"/>
      <c r="B1624" s="57"/>
      <c r="C1624" s="57"/>
      <c r="D1624" s="57"/>
      <c r="E1624" s="57"/>
      <c r="F1624" s="985"/>
      <c r="G1624" s="57"/>
      <c r="H1624" s="57"/>
      <c r="I1624" s="990"/>
      <c r="J1624" s="57"/>
      <c r="K1624" s="57"/>
      <c r="L1624" s="57"/>
      <c r="M1624" s="57"/>
      <c r="N1624" s="57"/>
      <c r="O1624" s="57"/>
      <c r="P1624" s="57"/>
      <c r="Q1624" s="57"/>
      <c r="R1624" s="57"/>
      <c r="S1624" s="57"/>
      <c r="T1624" s="57"/>
      <c r="U1624" s="57"/>
      <c r="V1624" s="57"/>
      <c r="W1624" s="57"/>
      <c r="X1624" s="57"/>
      <c r="Y1624" s="57"/>
      <c r="Z1624" s="57"/>
      <c r="AA1624" s="57"/>
      <c r="AB1624" s="57"/>
      <c r="AC1624" s="57"/>
      <c r="AD1624" s="57"/>
      <c r="AE1624" s="57"/>
      <c r="AF1624" s="57"/>
    </row>
    <row r="1625" spans="1:32" x14ac:dyDescent="0.2">
      <c r="A1625" s="57"/>
      <c r="B1625" s="57"/>
      <c r="C1625" s="57"/>
      <c r="D1625" s="57"/>
      <c r="E1625" s="57"/>
      <c r="F1625" s="985"/>
      <c r="G1625" s="57"/>
      <c r="H1625" s="57"/>
      <c r="I1625" s="990"/>
      <c r="J1625" s="57"/>
      <c r="K1625" s="57"/>
      <c r="L1625" s="57"/>
      <c r="M1625" s="57"/>
      <c r="N1625" s="57"/>
      <c r="O1625" s="57"/>
      <c r="P1625" s="57"/>
      <c r="Q1625" s="57"/>
      <c r="R1625" s="57"/>
      <c r="S1625" s="57"/>
      <c r="T1625" s="57"/>
      <c r="U1625" s="57"/>
      <c r="V1625" s="57"/>
      <c r="W1625" s="57"/>
      <c r="X1625" s="57"/>
      <c r="Y1625" s="57"/>
      <c r="Z1625" s="57"/>
      <c r="AA1625" s="57"/>
      <c r="AB1625" s="57"/>
      <c r="AC1625" s="57"/>
      <c r="AD1625" s="57"/>
      <c r="AE1625" s="57"/>
      <c r="AF1625" s="57"/>
    </row>
    <row r="1626" spans="1:32" x14ac:dyDescent="0.2">
      <c r="A1626" s="57"/>
      <c r="B1626" s="57"/>
      <c r="C1626" s="57"/>
      <c r="D1626" s="57"/>
      <c r="E1626" s="57"/>
      <c r="F1626" s="985"/>
      <c r="G1626" s="57"/>
      <c r="H1626" s="57"/>
      <c r="I1626" s="990"/>
      <c r="J1626" s="57"/>
      <c r="K1626" s="57"/>
      <c r="L1626" s="57"/>
      <c r="M1626" s="57"/>
      <c r="N1626" s="57"/>
      <c r="O1626" s="57"/>
      <c r="P1626" s="57"/>
      <c r="Q1626" s="57"/>
      <c r="R1626" s="57"/>
      <c r="S1626" s="57"/>
      <c r="T1626" s="57"/>
      <c r="U1626" s="57"/>
      <c r="V1626" s="57"/>
      <c r="W1626" s="57"/>
      <c r="X1626" s="57"/>
      <c r="Y1626" s="57"/>
      <c r="Z1626" s="57"/>
      <c r="AA1626" s="57"/>
      <c r="AB1626" s="57"/>
      <c r="AC1626" s="57"/>
      <c r="AD1626" s="57"/>
      <c r="AE1626" s="57"/>
      <c r="AF1626" s="57"/>
    </row>
    <row r="1627" spans="1:32" x14ac:dyDescent="0.2">
      <c r="A1627" s="57"/>
      <c r="B1627" s="57"/>
      <c r="C1627" s="57"/>
      <c r="D1627" s="57"/>
      <c r="E1627" s="57"/>
      <c r="F1627" s="985"/>
      <c r="G1627" s="57"/>
      <c r="H1627" s="57"/>
      <c r="I1627" s="990"/>
      <c r="J1627" s="57"/>
      <c r="K1627" s="57"/>
      <c r="L1627" s="57"/>
      <c r="M1627" s="57"/>
      <c r="N1627" s="57"/>
      <c r="O1627" s="57"/>
      <c r="P1627" s="57"/>
      <c r="Q1627" s="57"/>
      <c r="R1627" s="57"/>
      <c r="S1627" s="57"/>
      <c r="T1627" s="57"/>
      <c r="U1627" s="57"/>
      <c r="V1627" s="57"/>
      <c r="W1627" s="57"/>
      <c r="X1627" s="57"/>
      <c r="Y1627" s="57"/>
      <c r="Z1627" s="57"/>
      <c r="AA1627" s="57"/>
      <c r="AB1627" s="57"/>
      <c r="AC1627" s="57"/>
      <c r="AD1627" s="57"/>
      <c r="AE1627" s="57"/>
      <c r="AF1627" s="57"/>
    </row>
    <row r="1628" spans="1:32" x14ac:dyDescent="0.2">
      <c r="A1628" s="57"/>
      <c r="B1628" s="57"/>
      <c r="C1628" s="57"/>
      <c r="D1628" s="57"/>
      <c r="E1628" s="57"/>
      <c r="F1628" s="985"/>
      <c r="G1628" s="57"/>
      <c r="H1628" s="57"/>
      <c r="I1628" s="990"/>
      <c r="J1628" s="57"/>
      <c r="K1628" s="57"/>
      <c r="L1628" s="57"/>
      <c r="M1628" s="57"/>
      <c r="N1628" s="57"/>
      <c r="O1628" s="57"/>
      <c r="P1628" s="57"/>
      <c r="Q1628" s="57"/>
      <c r="R1628" s="57"/>
      <c r="S1628" s="57"/>
      <c r="T1628" s="57"/>
      <c r="U1628" s="57"/>
      <c r="V1628" s="57"/>
      <c r="W1628" s="57"/>
      <c r="X1628" s="57"/>
      <c r="Y1628" s="57"/>
      <c r="Z1628" s="57"/>
      <c r="AA1628" s="57"/>
      <c r="AB1628" s="57"/>
      <c r="AC1628" s="57"/>
      <c r="AD1628" s="57"/>
      <c r="AE1628" s="57"/>
      <c r="AF1628" s="57"/>
    </row>
    <row r="1629" spans="1:32" x14ac:dyDescent="0.2">
      <c r="A1629" s="57"/>
      <c r="B1629" s="57"/>
      <c r="C1629" s="57"/>
      <c r="D1629" s="57"/>
      <c r="E1629" s="57"/>
      <c r="F1629" s="985"/>
      <c r="G1629" s="57"/>
      <c r="H1629" s="57"/>
      <c r="I1629" s="990"/>
      <c r="J1629" s="57"/>
      <c r="K1629" s="57"/>
      <c r="L1629" s="57"/>
      <c r="M1629" s="57"/>
      <c r="N1629" s="57"/>
      <c r="O1629" s="57"/>
      <c r="P1629" s="57"/>
      <c r="Q1629" s="57"/>
      <c r="R1629" s="57"/>
      <c r="S1629" s="57"/>
      <c r="T1629" s="57"/>
      <c r="U1629" s="57"/>
      <c r="V1629" s="57"/>
      <c r="W1629" s="57"/>
      <c r="X1629" s="57"/>
      <c r="Y1629" s="57"/>
      <c r="Z1629" s="57"/>
      <c r="AA1629" s="57"/>
      <c r="AB1629" s="57"/>
      <c r="AC1629" s="57"/>
      <c r="AD1629" s="57"/>
      <c r="AE1629" s="57"/>
      <c r="AF1629" s="57"/>
    </row>
    <row r="1630" spans="1:32" x14ac:dyDescent="0.2">
      <c r="A1630" s="57"/>
      <c r="B1630" s="57"/>
      <c r="C1630" s="57"/>
      <c r="D1630" s="57"/>
      <c r="E1630" s="57"/>
      <c r="F1630" s="985"/>
      <c r="G1630" s="57"/>
      <c r="H1630" s="57"/>
      <c r="I1630" s="990"/>
      <c r="J1630" s="57"/>
      <c r="K1630" s="57"/>
      <c r="L1630" s="57"/>
      <c r="M1630" s="57"/>
      <c r="N1630" s="57"/>
      <c r="O1630" s="57"/>
      <c r="P1630" s="57"/>
      <c r="Q1630" s="57"/>
      <c r="R1630" s="57"/>
      <c r="S1630" s="57"/>
      <c r="T1630" s="57"/>
      <c r="U1630" s="57"/>
      <c r="V1630" s="57"/>
      <c r="W1630" s="57"/>
      <c r="X1630" s="57"/>
      <c r="Y1630" s="57"/>
      <c r="Z1630" s="57"/>
      <c r="AA1630" s="57"/>
      <c r="AB1630" s="57"/>
      <c r="AC1630" s="57"/>
      <c r="AD1630" s="57"/>
      <c r="AE1630" s="57"/>
      <c r="AF1630" s="57"/>
    </row>
    <row r="1631" spans="1:32" x14ac:dyDescent="0.2">
      <c r="A1631" s="57"/>
      <c r="B1631" s="57"/>
      <c r="C1631" s="57"/>
      <c r="D1631" s="57"/>
      <c r="E1631" s="57"/>
      <c r="F1631" s="985"/>
      <c r="G1631" s="57"/>
      <c r="H1631" s="57"/>
      <c r="I1631" s="990"/>
      <c r="J1631" s="57"/>
      <c r="K1631" s="57"/>
      <c r="L1631" s="57"/>
      <c r="M1631" s="57"/>
      <c r="N1631" s="57"/>
      <c r="O1631" s="57"/>
      <c r="P1631" s="57"/>
      <c r="Q1631" s="57"/>
      <c r="R1631" s="57"/>
      <c r="S1631" s="57"/>
      <c r="T1631" s="57"/>
      <c r="U1631" s="57"/>
      <c r="V1631" s="57"/>
      <c r="W1631" s="57"/>
      <c r="X1631" s="57"/>
      <c r="Y1631" s="57"/>
      <c r="Z1631" s="57"/>
      <c r="AA1631" s="57"/>
      <c r="AB1631" s="57"/>
      <c r="AC1631" s="57"/>
      <c r="AD1631" s="57"/>
      <c r="AE1631" s="57"/>
      <c r="AF1631" s="57"/>
    </row>
    <row r="1632" spans="1:32" x14ac:dyDescent="0.2">
      <c r="A1632" s="57"/>
      <c r="B1632" s="57"/>
      <c r="C1632" s="57"/>
      <c r="D1632" s="57"/>
      <c r="E1632" s="57"/>
      <c r="F1632" s="985"/>
      <c r="G1632" s="57"/>
      <c r="H1632" s="57"/>
      <c r="I1632" s="990"/>
      <c r="J1632" s="57"/>
      <c r="K1632" s="57"/>
      <c r="L1632" s="57"/>
      <c r="M1632" s="57"/>
      <c r="N1632" s="57"/>
      <c r="O1632" s="57"/>
      <c r="P1632" s="57"/>
      <c r="Q1632" s="57"/>
      <c r="R1632" s="57"/>
      <c r="S1632" s="57"/>
      <c r="T1632" s="57"/>
      <c r="U1632" s="57"/>
      <c r="V1632" s="57"/>
      <c r="W1632" s="57"/>
      <c r="X1632" s="57"/>
      <c r="Y1632" s="57"/>
      <c r="Z1632" s="57"/>
      <c r="AA1632" s="57"/>
      <c r="AB1632" s="57"/>
      <c r="AC1632" s="57"/>
      <c r="AD1632" s="57"/>
      <c r="AE1632" s="57"/>
      <c r="AF1632" s="57"/>
    </row>
    <row r="1633" spans="1:32" x14ac:dyDescent="0.2">
      <c r="A1633" s="57"/>
      <c r="B1633" s="57"/>
      <c r="C1633" s="57"/>
      <c r="D1633" s="57"/>
      <c r="E1633" s="57"/>
      <c r="F1633" s="985"/>
      <c r="G1633" s="57"/>
      <c r="H1633" s="57"/>
      <c r="I1633" s="990"/>
      <c r="J1633" s="57"/>
      <c r="K1633" s="57"/>
      <c r="L1633" s="57"/>
      <c r="M1633" s="57"/>
      <c r="N1633" s="57"/>
      <c r="O1633" s="57"/>
      <c r="P1633" s="57"/>
      <c r="Q1633" s="57"/>
      <c r="R1633" s="57"/>
      <c r="S1633" s="57"/>
      <c r="T1633" s="57"/>
      <c r="U1633" s="57"/>
      <c r="V1633" s="57"/>
      <c r="W1633" s="57"/>
      <c r="X1633" s="57"/>
      <c r="Y1633" s="57"/>
      <c r="Z1633" s="57"/>
      <c r="AA1633" s="57"/>
      <c r="AB1633" s="57"/>
      <c r="AC1633" s="57"/>
      <c r="AD1633" s="57"/>
      <c r="AE1633" s="57"/>
      <c r="AF1633" s="57"/>
    </row>
    <row r="1634" spans="1:32" x14ac:dyDescent="0.2">
      <c r="A1634" s="57"/>
      <c r="B1634" s="57"/>
      <c r="C1634" s="57"/>
      <c r="D1634" s="57"/>
      <c r="E1634" s="57"/>
      <c r="F1634" s="985"/>
      <c r="G1634" s="57"/>
      <c r="H1634" s="57"/>
      <c r="I1634" s="990"/>
      <c r="J1634" s="57"/>
      <c r="K1634" s="57"/>
      <c r="L1634" s="57"/>
      <c r="M1634" s="57"/>
      <c r="N1634" s="57"/>
      <c r="O1634" s="57"/>
      <c r="P1634" s="57"/>
      <c r="Q1634" s="57"/>
      <c r="R1634" s="57"/>
      <c r="S1634" s="57"/>
      <c r="T1634" s="57"/>
      <c r="U1634" s="57"/>
      <c r="V1634" s="57"/>
      <c r="W1634" s="57"/>
      <c r="X1634" s="57"/>
      <c r="Y1634" s="57"/>
      <c r="Z1634" s="57"/>
      <c r="AA1634" s="57"/>
      <c r="AB1634" s="57"/>
      <c r="AC1634" s="57"/>
      <c r="AD1634" s="57"/>
      <c r="AE1634" s="57"/>
      <c r="AF1634" s="57"/>
    </row>
    <row r="1635" spans="1:32" x14ac:dyDescent="0.2">
      <c r="A1635" s="57"/>
      <c r="B1635" s="57"/>
      <c r="C1635" s="57"/>
      <c r="D1635" s="57"/>
      <c r="E1635" s="57"/>
      <c r="F1635" s="985"/>
      <c r="G1635" s="57"/>
      <c r="H1635" s="57"/>
      <c r="I1635" s="990"/>
      <c r="J1635" s="57"/>
      <c r="K1635" s="57"/>
      <c r="L1635" s="57"/>
      <c r="M1635" s="57"/>
      <c r="N1635" s="57"/>
      <c r="O1635" s="57"/>
      <c r="P1635" s="57"/>
      <c r="Q1635" s="57"/>
      <c r="R1635" s="57"/>
      <c r="S1635" s="57"/>
      <c r="T1635" s="57"/>
      <c r="U1635" s="57"/>
      <c r="V1635" s="57"/>
      <c r="W1635" s="57"/>
      <c r="X1635" s="57"/>
      <c r="Y1635" s="57"/>
      <c r="Z1635" s="57"/>
      <c r="AA1635" s="57"/>
      <c r="AB1635" s="57"/>
      <c r="AC1635" s="57"/>
      <c r="AD1635" s="57"/>
      <c r="AE1635" s="57"/>
      <c r="AF1635" s="57"/>
    </row>
    <row r="1636" spans="1:32" x14ac:dyDescent="0.2">
      <c r="A1636" s="57"/>
      <c r="B1636" s="57"/>
      <c r="C1636" s="57"/>
      <c r="D1636" s="57"/>
      <c r="E1636" s="57"/>
      <c r="F1636" s="985"/>
      <c r="G1636" s="57"/>
      <c r="H1636" s="57"/>
      <c r="I1636" s="990"/>
      <c r="J1636" s="57"/>
      <c r="K1636" s="57"/>
      <c r="L1636" s="57"/>
      <c r="M1636" s="57"/>
      <c r="N1636" s="57"/>
      <c r="O1636" s="57"/>
      <c r="P1636" s="57"/>
      <c r="Q1636" s="57"/>
      <c r="R1636" s="57"/>
      <c r="S1636" s="57"/>
      <c r="T1636" s="57"/>
      <c r="U1636" s="57"/>
      <c r="V1636" s="57"/>
      <c r="W1636" s="57"/>
      <c r="X1636" s="57"/>
      <c r="Y1636" s="57"/>
      <c r="Z1636" s="57"/>
      <c r="AA1636" s="57"/>
      <c r="AB1636" s="57"/>
      <c r="AC1636" s="57"/>
      <c r="AD1636" s="57"/>
      <c r="AE1636" s="57"/>
      <c r="AF1636" s="57"/>
    </row>
    <row r="1637" spans="1:32" x14ac:dyDescent="0.2">
      <c r="A1637" s="57"/>
      <c r="B1637" s="57"/>
      <c r="C1637" s="57"/>
      <c r="D1637" s="57"/>
      <c r="E1637" s="57"/>
      <c r="F1637" s="985"/>
      <c r="G1637" s="57"/>
      <c r="H1637" s="57"/>
      <c r="I1637" s="990"/>
      <c r="J1637" s="57"/>
      <c r="K1637" s="57"/>
      <c r="L1637" s="57"/>
      <c r="M1637" s="57"/>
      <c r="N1637" s="57"/>
      <c r="O1637" s="57"/>
      <c r="P1637" s="57"/>
      <c r="Q1637" s="57"/>
      <c r="R1637" s="57"/>
      <c r="S1637" s="57"/>
      <c r="T1637" s="57"/>
      <c r="U1637" s="57"/>
      <c r="V1637" s="57"/>
      <c r="W1637" s="57"/>
      <c r="X1637" s="57"/>
      <c r="Y1637" s="57"/>
      <c r="Z1637" s="57"/>
      <c r="AA1637" s="57"/>
      <c r="AB1637" s="57"/>
      <c r="AC1637" s="57"/>
      <c r="AD1637" s="57"/>
      <c r="AE1637" s="57"/>
      <c r="AF1637" s="57"/>
    </row>
    <row r="1638" spans="1:32" x14ac:dyDescent="0.2">
      <c r="A1638" s="57"/>
      <c r="B1638" s="57"/>
      <c r="C1638" s="57"/>
      <c r="D1638" s="57"/>
      <c r="E1638" s="57"/>
      <c r="F1638" s="985"/>
      <c r="G1638" s="57"/>
      <c r="H1638" s="57"/>
      <c r="I1638" s="990"/>
      <c r="J1638" s="57"/>
      <c r="K1638" s="57"/>
      <c r="L1638" s="57"/>
      <c r="M1638" s="57"/>
      <c r="N1638" s="57"/>
      <c r="O1638" s="57"/>
      <c r="P1638" s="57"/>
      <c r="Q1638" s="57"/>
      <c r="R1638" s="57"/>
      <c r="S1638" s="57"/>
      <c r="T1638" s="57"/>
      <c r="U1638" s="57"/>
      <c r="V1638" s="57"/>
      <c r="W1638" s="57"/>
      <c r="X1638" s="57"/>
      <c r="Y1638" s="57"/>
      <c r="Z1638" s="57"/>
      <c r="AA1638" s="57"/>
      <c r="AB1638" s="57"/>
      <c r="AC1638" s="57"/>
      <c r="AD1638" s="57"/>
      <c r="AE1638" s="57"/>
      <c r="AF1638" s="57"/>
    </row>
    <row r="1639" spans="1:32" x14ac:dyDescent="0.2">
      <c r="A1639" s="57"/>
      <c r="B1639" s="57"/>
      <c r="C1639" s="57"/>
      <c r="D1639" s="57"/>
      <c r="E1639" s="57"/>
      <c r="F1639" s="985"/>
      <c r="G1639" s="57"/>
      <c r="H1639" s="57"/>
      <c r="I1639" s="990"/>
      <c r="J1639" s="57"/>
      <c r="K1639" s="57"/>
      <c r="L1639" s="57"/>
      <c r="M1639" s="57"/>
      <c r="N1639" s="57"/>
      <c r="O1639" s="57"/>
      <c r="P1639" s="57"/>
      <c r="Q1639" s="57"/>
      <c r="R1639" s="57"/>
      <c r="S1639" s="57"/>
      <c r="T1639" s="57"/>
      <c r="U1639" s="57"/>
      <c r="V1639" s="57"/>
      <c r="W1639" s="57"/>
      <c r="X1639" s="57"/>
      <c r="Y1639" s="57"/>
      <c r="Z1639" s="57"/>
      <c r="AA1639" s="57"/>
      <c r="AB1639" s="57"/>
      <c r="AC1639" s="57"/>
      <c r="AD1639" s="57"/>
      <c r="AE1639" s="57"/>
      <c r="AF1639" s="57"/>
    </row>
    <row r="1640" spans="1:32" x14ac:dyDescent="0.2">
      <c r="A1640" s="57"/>
      <c r="B1640" s="57"/>
      <c r="C1640" s="57"/>
      <c r="D1640" s="57"/>
      <c r="E1640" s="57"/>
      <c r="F1640" s="985"/>
      <c r="G1640" s="57"/>
      <c r="H1640" s="57"/>
      <c r="I1640" s="990"/>
      <c r="J1640" s="57"/>
      <c r="K1640" s="57"/>
      <c r="L1640" s="57"/>
      <c r="M1640" s="57"/>
      <c r="N1640" s="57"/>
      <c r="O1640" s="57"/>
      <c r="P1640" s="57"/>
      <c r="Q1640" s="57"/>
      <c r="R1640" s="57"/>
      <c r="S1640" s="57"/>
      <c r="T1640" s="57"/>
      <c r="U1640" s="57"/>
      <c r="V1640" s="57"/>
      <c r="W1640" s="57"/>
      <c r="X1640" s="57"/>
      <c r="Y1640" s="57"/>
      <c r="Z1640" s="57"/>
      <c r="AA1640" s="57"/>
      <c r="AB1640" s="57"/>
      <c r="AC1640" s="57"/>
      <c r="AD1640" s="57"/>
      <c r="AE1640" s="57"/>
      <c r="AF1640" s="57"/>
    </row>
    <row r="1641" spans="1:32" x14ac:dyDescent="0.2">
      <c r="A1641" s="57"/>
      <c r="B1641" s="57"/>
      <c r="C1641" s="57"/>
      <c r="D1641" s="57"/>
      <c r="E1641" s="57"/>
      <c r="F1641" s="985"/>
      <c r="G1641" s="57"/>
      <c r="H1641" s="57"/>
      <c r="I1641" s="990"/>
      <c r="J1641" s="57"/>
      <c r="K1641" s="57"/>
      <c r="L1641" s="57"/>
      <c r="M1641" s="57"/>
      <c r="N1641" s="57"/>
      <c r="O1641" s="57"/>
      <c r="P1641" s="57"/>
      <c r="Q1641" s="57"/>
      <c r="R1641" s="57"/>
      <c r="S1641" s="57"/>
      <c r="T1641" s="57"/>
      <c r="U1641" s="57"/>
      <c r="V1641" s="57"/>
      <c r="W1641" s="57"/>
      <c r="X1641" s="57"/>
      <c r="Y1641" s="57"/>
      <c r="Z1641" s="57"/>
      <c r="AA1641" s="57"/>
      <c r="AB1641" s="57"/>
      <c r="AC1641" s="57"/>
      <c r="AD1641" s="57"/>
      <c r="AE1641" s="57"/>
      <c r="AF1641" s="57"/>
    </row>
    <row r="1642" spans="1:32" x14ac:dyDescent="0.2">
      <c r="A1642" s="57"/>
      <c r="B1642" s="57"/>
      <c r="C1642" s="57"/>
      <c r="D1642" s="57"/>
      <c r="E1642" s="57"/>
      <c r="F1642" s="985"/>
      <c r="G1642" s="57"/>
      <c r="H1642" s="57"/>
      <c r="I1642" s="990"/>
      <c r="J1642" s="57"/>
      <c r="K1642" s="57"/>
      <c r="L1642" s="57"/>
      <c r="M1642" s="57"/>
      <c r="N1642" s="57"/>
      <c r="O1642" s="57"/>
      <c r="P1642" s="57"/>
      <c r="Q1642" s="57"/>
      <c r="R1642" s="57"/>
      <c r="S1642" s="57"/>
      <c r="T1642" s="57"/>
      <c r="U1642" s="57"/>
      <c r="V1642" s="57"/>
      <c r="W1642" s="57"/>
      <c r="X1642" s="57"/>
      <c r="Y1642" s="57"/>
      <c r="Z1642" s="57"/>
      <c r="AA1642" s="57"/>
      <c r="AB1642" s="57"/>
      <c r="AC1642" s="57"/>
      <c r="AD1642" s="57"/>
      <c r="AE1642" s="57"/>
      <c r="AF1642" s="57"/>
    </row>
    <row r="1643" spans="1:32" x14ac:dyDescent="0.2">
      <c r="A1643" s="57"/>
      <c r="B1643" s="57"/>
      <c r="C1643" s="57"/>
      <c r="D1643" s="57"/>
      <c r="E1643" s="57"/>
      <c r="F1643" s="985"/>
      <c r="G1643" s="57"/>
      <c r="H1643" s="57"/>
      <c r="I1643" s="990"/>
      <c r="J1643" s="57"/>
      <c r="K1643" s="57"/>
      <c r="L1643" s="57"/>
      <c r="M1643" s="57"/>
      <c r="N1643" s="57"/>
      <c r="O1643" s="57"/>
      <c r="P1643" s="57"/>
      <c r="Q1643" s="57"/>
      <c r="R1643" s="57"/>
      <c r="S1643" s="57"/>
      <c r="T1643" s="57"/>
      <c r="U1643" s="57"/>
      <c r="V1643" s="57"/>
      <c r="W1643" s="57"/>
      <c r="X1643" s="57"/>
      <c r="Y1643" s="57"/>
      <c r="Z1643" s="57"/>
      <c r="AA1643" s="57"/>
      <c r="AB1643" s="57"/>
      <c r="AC1643" s="57"/>
      <c r="AD1643" s="57"/>
      <c r="AE1643" s="57"/>
      <c r="AF1643" s="57"/>
    </row>
    <row r="1644" spans="1:32" x14ac:dyDescent="0.2">
      <c r="A1644" s="57"/>
      <c r="B1644" s="57"/>
      <c r="C1644" s="57"/>
      <c r="D1644" s="57"/>
      <c r="E1644" s="57"/>
      <c r="F1644" s="985"/>
      <c r="G1644" s="57"/>
      <c r="H1644" s="57"/>
      <c r="I1644" s="990"/>
      <c r="J1644" s="57"/>
      <c r="K1644" s="57"/>
      <c r="L1644" s="57"/>
      <c r="M1644" s="57"/>
      <c r="N1644" s="57"/>
      <c r="O1644" s="57"/>
      <c r="P1644" s="57"/>
      <c r="Q1644" s="57"/>
      <c r="R1644" s="57"/>
      <c r="S1644" s="57"/>
      <c r="T1644" s="57"/>
      <c r="U1644" s="57"/>
      <c r="V1644" s="57"/>
      <c r="W1644" s="57"/>
      <c r="X1644" s="57"/>
      <c r="Y1644" s="57"/>
      <c r="Z1644" s="57"/>
      <c r="AA1644" s="57"/>
      <c r="AB1644" s="57"/>
      <c r="AC1644" s="57"/>
      <c r="AD1644" s="57"/>
      <c r="AE1644" s="57"/>
      <c r="AF1644" s="57"/>
    </row>
    <row r="1645" spans="1:32" x14ac:dyDescent="0.2">
      <c r="A1645" s="57"/>
      <c r="B1645" s="57"/>
      <c r="C1645" s="57"/>
      <c r="D1645" s="57"/>
      <c r="E1645" s="57"/>
      <c r="F1645" s="985"/>
      <c r="G1645" s="57"/>
      <c r="H1645" s="57"/>
      <c r="I1645" s="990"/>
      <c r="J1645" s="57"/>
      <c r="K1645" s="57"/>
      <c r="L1645" s="57"/>
      <c r="M1645" s="57"/>
      <c r="N1645" s="57"/>
      <c r="O1645" s="57"/>
      <c r="P1645" s="57"/>
      <c r="Q1645" s="57"/>
      <c r="R1645" s="57"/>
      <c r="S1645" s="57"/>
      <c r="T1645" s="57"/>
      <c r="U1645" s="57"/>
      <c r="V1645" s="57"/>
      <c r="W1645" s="57"/>
      <c r="X1645" s="57"/>
      <c r="Y1645" s="57"/>
      <c r="Z1645" s="57"/>
      <c r="AA1645" s="57"/>
      <c r="AB1645" s="57"/>
      <c r="AC1645" s="57"/>
      <c r="AD1645" s="57"/>
      <c r="AE1645" s="57"/>
      <c r="AF1645" s="57"/>
    </row>
    <row r="1646" spans="1:32" x14ac:dyDescent="0.2">
      <c r="A1646" s="57"/>
      <c r="B1646" s="57"/>
      <c r="C1646" s="57"/>
      <c r="D1646" s="57"/>
      <c r="E1646" s="57"/>
      <c r="F1646" s="985"/>
      <c r="G1646" s="57"/>
      <c r="H1646" s="57"/>
      <c r="I1646" s="990"/>
      <c r="J1646" s="57"/>
      <c r="K1646" s="57"/>
      <c r="L1646" s="57"/>
      <c r="M1646" s="57"/>
      <c r="N1646" s="57"/>
      <c r="O1646" s="57"/>
      <c r="P1646" s="57"/>
      <c r="Q1646" s="57"/>
      <c r="R1646" s="57"/>
      <c r="S1646" s="57"/>
      <c r="T1646" s="57"/>
      <c r="U1646" s="57"/>
      <c r="V1646" s="57"/>
      <c r="W1646" s="57"/>
      <c r="X1646" s="57"/>
      <c r="Y1646" s="57"/>
      <c r="Z1646" s="57"/>
      <c r="AA1646" s="57"/>
      <c r="AB1646" s="57"/>
      <c r="AC1646" s="57"/>
      <c r="AD1646" s="57"/>
      <c r="AE1646" s="57"/>
      <c r="AF1646" s="57"/>
    </row>
    <row r="1647" spans="1:32" x14ac:dyDescent="0.2">
      <c r="A1647" s="57"/>
      <c r="B1647" s="57"/>
      <c r="C1647" s="57"/>
      <c r="D1647" s="57"/>
      <c r="E1647" s="57"/>
      <c r="F1647" s="985"/>
      <c r="G1647" s="57"/>
      <c r="H1647" s="57"/>
      <c r="I1647" s="990"/>
      <c r="J1647" s="57"/>
      <c r="K1647" s="57"/>
      <c r="L1647" s="57"/>
      <c r="M1647" s="57"/>
      <c r="N1647" s="57"/>
      <c r="O1647" s="57"/>
      <c r="P1647" s="57"/>
      <c r="Q1647" s="57"/>
      <c r="R1647" s="57"/>
      <c r="S1647" s="57"/>
      <c r="T1647" s="57"/>
      <c r="U1647" s="57"/>
      <c r="V1647" s="57"/>
      <c r="W1647" s="57"/>
      <c r="X1647" s="57"/>
      <c r="Y1647" s="57"/>
      <c r="Z1647" s="57"/>
      <c r="AA1647" s="57"/>
      <c r="AB1647" s="57"/>
      <c r="AC1647" s="57"/>
      <c r="AD1647" s="57"/>
      <c r="AE1647" s="57"/>
      <c r="AF1647" s="57"/>
    </row>
    <row r="1648" spans="1:32" x14ac:dyDescent="0.2">
      <c r="A1648" s="57"/>
      <c r="B1648" s="57"/>
      <c r="C1648" s="57"/>
      <c r="D1648" s="57"/>
      <c r="E1648" s="57"/>
      <c r="F1648" s="985"/>
      <c r="G1648" s="57"/>
      <c r="H1648" s="57"/>
      <c r="I1648" s="990"/>
      <c r="J1648" s="57"/>
      <c r="K1648" s="57"/>
      <c r="L1648" s="57"/>
      <c r="M1648" s="57"/>
      <c r="N1648" s="57"/>
      <c r="O1648" s="57"/>
      <c r="P1648" s="57"/>
      <c r="Q1648" s="57"/>
      <c r="R1648" s="57"/>
      <c r="S1648" s="57"/>
      <c r="T1648" s="57"/>
      <c r="U1648" s="57"/>
      <c r="V1648" s="57"/>
      <c r="W1648" s="57"/>
      <c r="X1648" s="57"/>
      <c r="Y1648" s="57"/>
      <c r="Z1648" s="57"/>
      <c r="AA1648" s="57"/>
      <c r="AB1648" s="57"/>
      <c r="AC1648" s="57"/>
      <c r="AD1648" s="57"/>
      <c r="AE1648" s="57"/>
      <c r="AF1648" s="57"/>
    </row>
    <row r="1649" spans="1:32" x14ac:dyDescent="0.2">
      <c r="A1649" s="57"/>
      <c r="B1649" s="57"/>
      <c r="C1649" s="57"/>
      <c r="D1649" s="57"/>
      <c r="E1649" s="57"/>
      <c r="F1649" s="985"/>
      <c r="G1649" s="57"/>
      <c r="H1649" s="57"/>
      <c r="I1649" s="990"/>
      <c r="J1649" s="57"/>
      <c r="K1649" s="57"/>
      <c r="L1649" s="57"/>
      <c r="M1649" s="57"/>
      <c r="N1649" s="57"/>
      <c r="O1649" s="57"/>
      <c r="P1649" s="57"/>
      <c r="Q1649" s="57"/>
      <c r="R1649" s="57"/>
      <c r="S1649" s="57"/>
      <c r="T1649" s="57"/>
      <c r="U1649" s="57"/>
      <c r="V1649" s="57"/>
      <c r="W1649" s="57"/>
      <c r="X1649" s="57"/>
      <c r="Y1649" s="57"/>
      <c r="Z1649" s="57"/>
      <c r="AA1649" s="57"/>
      <c r="AB1649" s="57"/>
      <c r="AC1649" s="57"/>
      <c r="AD1649" s="57"/>
      <c r="AE1649" s="57"/>
      <c r="AF1649" s="57"/>
    </row>
    <row r="1650" spans="1:32" x14ac:dyDescent="0.2">
      <c r="A1650" s="57"/>
      <c r="B1650" s="57"/>
      <c r="C1650" s="57"/>
      <c r="D1650" s="57"/>
      <c r="E1650" s="57"/>
      <c r="F1650" s="985"/>
      <c r="G1650" s="57"/>
      <c r="H1650" s="57"/>
      <c r="I1650" s="990"/>
      <c r="J1650" s="57"/>
      <c r="K1650" s="57"/>
      <c r="L1650" s="57"/>
      <c r="M1650" s="57"/>
      <c r="N1650" s="57"/>
      <c r="O1650" s="57"/>
      <c r="P1650" s="57"/>
      <c r="Q1650" s="57"/>
      <c r="R1650" s="57"/>
      <c r="S1650" s="57"/>
      <c r="T1650" s="57"/>
      <c r="U1650" s="57"/>
      <c r="V1650" s="57"/>
      <c r="W1650" s="57"/>
      <c r="X1650" s="57"/>
      <c r="Y1650" s="57"/>
      <c r="Z1650" s="57"/>
      <c r="AA1650" s="57"/>
      <c r="AB1650" s="57"/>
      <c r="AC1650" s="57"/>
      <c r="AD1650" s="57"/>
      <c r="AE1650" s="57"/>
      <c r="AF1650" s="57"/>
    </row>
    <row r="1651" spans="1:32" x14ac:dyDescent="0.2">
      <c r="A1651" s="57"/>
      <c r="B1651" s="57"/>
      <c r="C1651" s="57"/>
      <c r="D1651" s="57"/>
      <c r="E1651" s="57"/>
      <c r="F1651" s="985"/>
      <c r="G1651" s="57"/>
      <c r="H1651" s="57"/>
      <c r="I1651" s="990"/>
      <c r="J1651" s="57"/>
      <c r="K1651" s="57"/>
      <c r="L1651" s="57"/>
      <c r="M1651" s="57"/>
      <c r="N1651" s="57"/>
      <c r="O1651" s="57"/>
      <c r="P1651" s="57"/>
      <c r="Q1651" s="57"/>
      <c r="R1651" s="57"/>
      <c r="S1651" s="57"/>
      <c r="T1651" s="57"/>
      <c r="U1651" s="57"/>
      <c r="V1651" s="57"/>
      <c r="W1651" s="57"/>
      <c r="X1651" s="57"/>
      <c r="Y1651" s="57"/>
      <c r="Z1651" s="57"/>
      <c r="AA1651" s="57"/>
      <c r="AB1651" s="57"/>
      <c r="AC1651" s="57"/>
      <c r="AD1651" s="57"/>
      <c r="AE1651" s="57"/>
      <c r="AF1651" s="57"/>
    </row>
    <row r="1652" spans="1:32" x14ac:dyDescent="0.2">
      <c r="A1652" s="57"/>
      <c r="B1652" s="57"/>
      <c r="C1652" s="57"/>
      <c r="D1652" s="57"/>
      <c r="E1652" s="57"/>
      <c r="F1652" s="985"/>
      <c r="G1652" s="57"/>
      <c r="H1652" s="57"/>
      <c r="I1652" s="990"/>
      <c r="J1652" s="57"/>
      <c r="K1652" s="57"/>
      <c r="L1652" s="57"/>
      <c r="M1652" s="57"/>
      <c r="N1652" s="57"/>
      <c r="O1652" s="57"/>
      <c r="P1652" s="57"/>
      <c r="Q1652" s="57"/>
      <c r="R1652" s="57"/>
      <c r="S1652" s="57"/>
      <c r="T1652" s="57"/>
      <c r="U1652" s="57"/>
      <c r="V1652" s="57"/>
      <c r="W1652" s="57"/>
      <c r="X1652" s="57"/>
      <c r="Y1652" s="57"/>
      <c r="Z1652" s="57"/>
      <c r="AA1652" s="57"/>
      <c r="AB1652" s="57"/>
      <c r="AC1652" s="57"/>
      <c r="AD1652" s="57"/>
      <c r="AE1652" s="57"/>
      <c r="AF1652" s="57"/>
    </row>
    <row r="1653" spans="1:32" x14ac:dyDescent="0.2">
      <c r="A1653" s="57"/>
      <c r="B1653" s="57"/>
      <c r="C1653" s="57"/>
      <c r="D1653" s="57"/>
      <c r="E1653" s="57"/>
      <c r="F1653" s="985"/>
      <c r="G1653" s="57"/>
      <c r="H1653" s="57"/>
      <c r="I1653" s="990"/>
      <c r="J1653" s="57"/>
      <c r="K1653" s="57"/>
      <c r="L1653" s="57"/>
      <c r="M1653" s="57"/>
      <c r="N1653" s="57"/>
      <c r="O1653" s="57"/>
      <c r="P1653" s="57"/>
      <c r="Q1653" s="57"/>
      <c r="R1653" s="57"/>
      <c r="S1653" s="57"/>
      <c r="T1653" s="57"/>
      <c r="U1653" s="57"/>
      <c r="V1653" s="57"/>
      <c r="W1653" s="57"/>
      <c r="X1653" s="57"/>
      <c r="Y1653" s="57"/>
      <c r="Z1653" s="57"/>
      <c r="AA1653" s="57"/>
      <c r="AB1653" s="57"/>
      <c r="AC1653" s="57"/>
      <c r="AD1653" s="57"/>
      <c r="AE1653" s="57"/>
      <c r="AF1653" s="57"/>
    </row>
    <row r="1654" spans="1:32" x14ac:dyDescent="0.2">
      <c r="A1654" s="57"/>
      <c r="B1654" s="57"/>
      <c r="C1654" s="57"/>
      <c r="D1654" s="57"/>
      <c r="E1654" s="57"/>
      <c r="F1654" s="985"/>
      <c r="G1654" s="57"/>
      <c r="H1654" s="57"/>
      <c r="I1654" s="990"/>
      <c r="J1654" s="57"/>
      <c r="K1654" s="57"/>
      <c r="L1654" s="57"/>
      <c r="M1654" s="57"/>
      <c r="N1654" s="57"/>
      <c r="O1654" s="57"/>
      <c r="P1654" s="57"/>
      <c r="Q1654" s="57"/>
      <c r="R1654" s="57"/>
      <c r="S1654" s="57"/>
      <c r="T1654" s="57"/>
      <c r="U1654" s="57"/>
      <c r="V1654" s="57"/>
      <c r="W1654" s="57"/>
      <c r="X1654" s="57"/>
      <c r="Y1654" s="57"/>
      <c r="Z1654" s="57"/>
      <c r="AA1654" s="57"/>
      <c r="AB1654" s="57"/>
      <c r="AC1654" s="57"/>
      <c r="AD1654" s="57"/>
      <c r="AE1654" s="57"/>
      <c r="AF1654" s="57"/>
    </row>
    <row r="1655" spans="1:32" x14ac:dyDescent="0.2">
      <c r="A1655" s="57"/>
      <c r="B1655" s="57"/>
      <c r="C1655" s="57"/>
      <c r="D1655" s="57"/>
      <c r="E1655" s="57"/>
      <c r="F1655" s="985"/>
      <c r="G1655" s="57"/>
      <c r="H1655" s="57"/>
      <c r="I1655" s="990"/>
      <c r="J1655" s="57"/>
      <c r="K1655" s="57"/>
      <c r="L1655" s="57"/>
      <c r="M1655" s="57"/>
      <c r="N1655" s="57"/>
      <c r="O1655" s="57"/>
      <c r="P1655" s="57"/>
      <c r="Q1655" s="57"/>
      <c r="R1655" s="57"/>
      <c r="S1655" s="57"/>
      <c r="T1655" s="57"/>
      <c r="U1655" s="57"/>
      <c r="V1655" s="57"/>
      <c r="W1655" s="57"/>
      <c r="X1655" s="57"/>
      <c r="Y1655" s="57"/>
      <c r="Z1655" s="57"/>
      <c r="AA1655" s="57"/>
      <c r="AB1655" s="57"/>
      <c r="AC1655" s="57"/>
      <c r="AD1655" s="57"/>
      <c r="AE1655" s="57"/>
      <c r="AF1655" s="57"/>
    </row>
    <row r="1656" spans="1:32" x14ac:dyDescent="0.2">
      <c r="A1656" s="57"/>
      <c r="B1656" s="57"/>
      <c r="C1656" s="57"/>
      <c r="D1656" s="57"/>
      <c r="E1656" s="57"/>
      <c r="F1656" s="985"/>
      <c r="G1656" s="57"/>
      <c r="H1656" s="57"/>
      <c r="I1656" s="990"/>
      <c r="J1656" s="57"/>
      <c r="K1656" s="57"/>
      <c r="L1656" s="57"/>
      <c r="M1656" s="57"/>
      <c r="N1656" s="57"/>
      <c r="O1656" s="57"/>
      <c r="P1656" s="57"/>
      <c r="Q1656" s="57"/>
      <c r="R1656" s="57"/>
      <c r="S1656" s="57"/>
      <c r="T1656" s="57"/>
      <c r="U1656" s="57"/>
      <c r="V1656" s="57"/>
      <c r="W1656" s="57"/>
      <c r="X1656" s="57"/>
      <c r="Y1656" s="57"/>
      <c r="Z1656" s="57"/>
      <c r="AA1656" s="57"/>
      <c r="AB1656" s="57"/>
      <c r="AC1656" s="57"/>
      <c r="AD1656" s="57"/>
      <c r="AE1656" s="57"/>
      <c r="AF1656" s="57"/>
    </row>
    <row r="1657" spans="1:32" x14ac:dyDescent="0.2">
      <c r="A1657" s="57"/>
      <c r="B1657" s="57"/>
      <c r="C1657" s="57"/>
      <c r="D1657" s="57"/>
      <c r="E1657" s="57"/>
      <c r="F1657" s="985"/>
      <c r="G1657" s="57"/>
      <c r="H1657" s="57"/>
      <c r="I1657" s="990"/>
      <c r="J1657" s="57"/>
      <c r="K1657" s="57"/>
      <c r="L1657" s="57"/>
      <c r="M1657" s="57"/>
      <c r="N1657" s="57"/>
      <c r="O1657" s="57"/>
      <c r="P1657" s="57"/>
      <c r="Q1657" s="57"/>
      <c r="R1657" s="57"/>
      <c r="S1657" s="57"/>
      <c r="T1657" s="57"/>
      <c r="U1657" s="57"/>
      <c r="V1657" s="57"/>
      <c r="W1657" s="57"/>
      <c r="X1657" s="57"/>
      <c r="Y1657" s="57"/>
      <c r="Z1657" s="57"/>
      <c r="AA1657" s="57"/>
      <c r="AB1657" s="57"/>
      <c r="AC1657" s="57"/>
      <c r="AD1657" s="57"/>
      <c r="AE1657" s="57"/>
      <c r="AF1657" s="57"/>
    </row>
    <row r="1658" spans="1:32" x14ac:dyDescent="0.2">
      <c r="A1658" s="57"/>
      <c r="B1658" s="57"/>
      <c r="C1658" s="57"/>
      <c r="D1658" s="57"/>
      <c r="E1658" s="57"/>
      <c r="F1658" s="985"/>
      <c r="G1658" s="57"/>
      <c r="H1658" s="57"/>
      <c r="I1658" s="990"/>
      <c r="J1658" s="57"/>
      <c r="K1658" s="57"/>
      <c r="L1658" s="57"/>
      <c r="M1658" s="57"/>
      <c r="N1658" s="57"/>
      <c r="O1658" s="57"/>
      <c r="P1658" s="57"/>
      <c r="Q1658" s="57"/>
      <c r="R1658" s="57"/>
      <c r="S1658" s="57"/>
      <c r="T1658" s="57"/>
      <c r="U1658" s="57"/>
      <c r="V1658" s="57"/>
      <c r="W1658" s="57"/>
      <c r="X1658" s="57"/>
      <c r="Y1658" s="57"/>
      <c r="Z1658" s="57"/>
      <c r="AA1658" s="57"/>
      <c r="AB1658" s="57"/>
      <c r="AC1658" s="57"/>
      <c r="AD1658" s="57"/>
      <c r="AE1658" s="57"/>
      <c r="AF1658" s="57"/>
    </row>
    <row r="1659" spans="1:32" x14ac:dyDescent="0.2">
      <c r="A1659" s="57"/>
      <c r="B1659" s="57"/>
      <c r="C1659" s="57"/>
      <c r="D1659" s="57"/>
      <c r="E1659" s="57"/>
      <c r="F1659" s="985"/>
      <c r="G1659" s="57"/>
      <c r="H1659" s="57"/>
      <c r="I1659" s="990"/>
      <c r="J1659" s="57"/>
      <c r="K1659" s="57"/>
      <c r="L1659" s="57"/>
      <c r="M1659" s="57"/>
      <c r="N1659" s="57"/>
      <c r="O1659" s="57"/>
      <c r="P1659" s="57"/>
      <c r="Q1659" s="57"/>
      <c r="R1659" s="57"/>
      <c r="S1659" s="57"/>
      <c r="T1659" s="57"/>
      <c r="U1659" s="57"/>
      <c r="V1659" s="57"/>
      <c r="W1659" s="57"/>
      <c r="X1659" s="57"/>
      <c r="Y1659" s="57"/>
      <c r="Z1659" s="57"/>
      <c r="AA1659" s="57"/>
      <c r="AB1659" s="57"/>
      <c r="AC1659" s="57"/>
      <c r="AD1659" s="57"/>
      <c r="AE1659" s="57"/>
      <c r="AF1659" s="57"/>
    </row>
    <row r="1660" spans="1:32" x14ac:dyDescent="0.2">
      <c r="A1660" s="57"/>
      <c r="B1660" s="57"/>
      <c r="C1660" s="57"/>
      <c r="D1660" s="57"/>
      <c r="E1660" s="57"/>
      <c r="F1660" s="985"/>
      <c r="G1660" s="57"/>
      <c r="H1660" s="57"/>
      <c r="I1660" s="990"/>
      <c r="J1660" s="57"/>
      <c r="K1660" s="57"/>
      <c r="L1660" s="57"/>
      <c r="M1660" s="57"/>
      <c r="N1660" s="57"/>
      <c r="O1660" s="57"/>
      <c r="P1660" s="57"/>
      <c r="Q1660" s="57"/>
      <c r="R1660" s="57"/>
      <c r="S1660" s="57"/>
      <c r="T1660" s="57"/>
      <c r="U1660" s="57"/>
      <c r="V1660" s="57"/>
      <c r="W1660" s="57"/>
      <c r="X1660" s="57"/>
      <c r="Y1660" s="57"/>
      <c r="Z1660" s="57"/>
      <c r="AA1660" s="57"/>
      <c r="AB1660" s="57"/>
      <c r="AC1660" s="57"/>
      <c r="AD1660" s="57"/>
      <c r="AE1660" s="57"/>
      <c r="AF1660" s="57"/>
    </row>
    <row r="1661" spans="1:32" x14ac:dyDescent="0.2">
      <c r="A1661" s="57"/>
      <c r="B1661" s="57"/>
      <c r="C1661" s="57"/>
      <c r="D1661" s="57"/>
      <c r="E1661" s="57"/>
      <c r="F1661" s="985"/>
      <c r="G1661" s="57"/>
      <c r="H1661" s="57"/>
      <c r="I1661" s="990"/>
      <c r="J1661" s="57"/>
      <c r="K1661" s="57"/>
      <c r="L1661" s="57"/>
      <c r="M1661" s="57"/>
      <c r="N1661" s="57"/>
      <c r="O1661" s="57"/>
      <c r="P1661" s="57"/>
      <c r="Q1661" s="57"/>
      <c r="R1661" s="57"/>
      <c r="S1661" s="57"/>
      <c r="T1661" s="57"/>
      <c r="U1661" s="57"/>
      <c r="V1661" s="57"/>
      <c r="W1661" s="57"/>
      <c r="X1661" s="57"/>
      <c r="Y1661" s="57"/>
      <c r="Z1661" s="57"/>
      <c r="AA1661" s="57"/>
      <c r="AB1661" s="57"/>
      <c r="AC1661" s="57"/>
      <c r="AD1661" s="57"/>
      <c r="AE1661" s="57"/>
      <c r="AF1661" s="57"/>
    </row>
    <row r="1662" spans="1:32" x14ac:dyDescent="0.2">
      <c r="A1662" s="57"/>
      <c r="B1662" s="57"/>
      <c r="C1662" s="57"/>
      <c r="D1662" s="57"/>
      <c r="E1662" s="57"/>
      <c r="F1662" s="985"/>
      <c r="G1662" s="57"/>
      <c r="H1662" s="57"/>
      <c r="I1662" s="990"/>
      <c r="J1662" s="57"/>
      <c r="K1662" s="57"/>
      <c r="L1662" s="57"/>
      <c r="M1662" s="57"/>
      <c r="N1662" s="57"/>
      <c r="O1662" s="57"/>
      <c r="P1662" s="57"/>
      <c r="Q1662" s="57"/>
      <c r="R1662" s="57"/>
      <c r="S1662" s="57"/>
      <c r="T1662" s="57"/>
      <c r="U1662" s="57"/>
      <c r="V1662" s="57"/>
      <c r="W1662" s="57"/>
      <c r="X1662" s="57"/>
      <c r="Y1662" s="57"/>
      <c r="Z1662" s="57"/>
      <c r="AA1662" s="57"/>
      <c r="AB1662" s="57"/>
      <c r="AC1662" s="57"/>
      <c r="AD1662" s="57"/>
      <c r="AE1662" s="57"/>
      <c r="AF1662" s="57"/>
    </row>
    <row r="1663" spans="1:32" x14ac:dyDescent="0.2">
      <c r="A1663" s="57"/>
      <c r="B1663" s="57"/>
      <c r="C1663" s="57"/>
      <c r="D1663" s="57"/>
      <c r="E1663" s="57"/>
      <c r="F1663" s="985"/>
      <c r="G1663" s="57"/>
      <c r="H1663" s="57"/>
      <c r="I1663" s="990"/>
      <c r="J1663" s="57"/>
      <c r="K1663" s="57"/>
      <c r="L1663" s="57"/>
      <c r="M1663" s="57"/>
      <c r="N1663" s="57"/>
      <c r="O1663" s="57"/>
      <c r="P1663" s="57"/>
      <c r="Q1663" s="57"/>
      <c r="R1663" s="57"/>
      <c r="S1663" s="57"/>
      <c r="T1663" s="57"/>
      <c r="U1663" s="57"/>
      <c r="V1663" s="57"/>
      <c r="W1663" s="57"/>
      <c r="X1663" s="57"/>
      <c r="Y1663" s="57"/>
      <c r="Z1663" s="57"/>
      <c r="AA1663" s="57"/>
      <c r="AB1663" s="57"/>
      <c r="AC1663" s="57"/>
      <c r="AD1663" s="57"/>
      <c r="AE1663" s="57"/>
      <c r="AF1663" s="57"/>
    </row>
    <row r="1664" spans="1:32" x14ac:dyDescent="0.2">
      <c r="A1664" s="57"/>
      <c r="B1664" s="57"/>
      <c r="C1664" s="57"/>
      <c r="D1664" s="57"/>
      <c r="E1664" s="57"/>
      <c r="F1664" s="985"/>
      <c r="G1664" s="57"/>
      <c r="H1664" s="57"/>
      <c r="I1664" s="990"/>
      <c r="J1664" s="57"/>
      <c r="K1664" s="57"/>
      <c r="L1664" s="57"/>
      <c r="M1664" s="57"/>
      <c r="N1664" s="57"/>
      <c r="O1664" s="57"/>
      <c r="P1664" s="57"/>
      <c r="Q1664" s="57"/>
      <c r="R1664" s="57"/>
      <c r="S1664" s="57"/>
      <c r="T1664" s="57"/>
      <c r="U1664" s="57"/>
      <c r="V1664" s="57"/>
      <c r="W1664" s="57"/>
      <c r="X1664" s="57"/>
      <c r="Y1664" s="57"/>
      <c r="Z1664" s="57"/>
      <c r="AA1664" s="57"/>
      <c r="AB1664" s="57"/>
      <c r="AC1664" s="57"/>
      <c r="AD1664" s="57"/>
      <c r="AE1664" s="57"/>
      <c r="AF1664" s="57"/>
    </row>
    <row r="1665" spans="1:32" x14ac:dyDescent="0.2">
      <c r="A1665" s="57"/>
      <c r="B1665" s="57"/>
      <c r="C1665" s="57"/>
      <c r="D1665" s="57"/>
      <c r="E1665" s="57"/>
      <c r="F1665" s="985"/>
      <c r="G1665" s="57"/>
      <c r="H1665" s="57"/>
      <c r="I1665" s="990"/>
      <c r="J1665" s="57"/>
      <c r="K1665" s="57"/>
      <c r="L1665" s="57"/>
      <c r="M1665" s="57"/>
      <c r="N1665" s="57"/>
      <c r="O1665" s="57"/>
      <c r="P1665" s="57"/>
      <c r="Q1665" s="57"/>
      <c r="R1665" s="57"/>
      <c r="S1665" s="57"/>
      <c r="T1665" s="57"/>
      <c r="U1665" s="57"/>
      <c r="V1665" s="57"/>
      <c r="W1665" s="57"/>
      <c r="X1665" s="57"/>
      <c r="Y1665" s="57"/>
      <c r="Z1665" s="57"/>
      <c r="AA1665" s="57"/>
      <c r="AB1665" s="57"/>
      <c r="AC1665" s="57"/>
      <c r="AD1665" s="57"/>
      <c r="AE1665" s="57"/>
      <c r="AF1665" s="57"/>
    </row>
    <row r="1666" spans="1:32" x14ac:dyDescent="0.2">
      <c r="A1666" s="57"/>
      <c r="B1666" s="57"/>
      <c r="C1666" s="57"/>
      <c r="D1666" s="57"/>
      <c r="E1666" s="57"/>
      <c r="F1666" s="985"/>
      <c r="G1666" s="57"/>
      <c r="H1666" s="57"/>
      <c r="I1666" s="990"/>
      <c r="J1666" s="57"/>
      <c r="K1666" s="57"/>
      <c r="L1666" s="57"/>
      <c r="M1666" s="57"/>
      <c r="N1666" s="57"/>
      <c r="O1666" s="57"/>
      <c r="P1666" s="57"/>
      <c r="Q1666" s="57"/>
      <c r="R1666" s="57"/>
      <c r="S1666" s="57"/>
      <c r="T1666" s="57"/>
      <c r="U1666" s="57"/>
      <c r="V1666" s="57"/>
      <c r="W1666" s="57"/>
      <c r="X1666" s="57"/>
      <c r="Y1666" s="57"/>
      <c r="Z1666" s="57"/>
      <c r="AA1666" s="57"/>
      <c r="AB1666" s="57"/>
      <c r="AC1666" s="57"/>
      <c r="AD1666" s="57"/>
      <c r="AE1666" s="57"/>
      <c r="AF1666" s="57"/>
    </row>
    <row r="1667" spans="1:32" x14ac:dyDescent="0.2">
      <c r="A1667" s="57"/>
      <c r="B1667" s="57"/>
      <c r="C1667" s="57"/>
      <c r="D1667" s="57"/>
      <c r="E1667" s="57"/>
      <c r="F1667" s="985"/>
      <c r="G1667" s="57"/>
      <c r="H1667" s="57"/>
      <c r="I1667" s="990"/>
      <c r="J1667" s="57"/>
      <c r="K1667" s="57"/>
      <c r="L1667" s="57"/>
      <c r="M1667" s="57"/>
      <c r="N1667" s="57"/>
      <c r="O1667" s="57"/>
      <c r="P1667" s="57"/>
      <c r="Q1667" s="57"/>
      <c r="R1667" s="57"/>
      <c r="S1667" s="57"/>
      <c r="T1667" s="57"/>
      <c r="U1667" s="57"/>
      <c r="V1667" s="57"/>
      <c r="W1667" s="57"/>
      <c r="X1667" s="57"/>
      <c r="Y1667" s="57"/>
      <c r="Z1667" s="57"/>
      <c r="AA1667" s="57"/>
      <c r="AB1667" s="57"/>
      <c r="AC1667" s="57"/>
      <c r="AD1667" s="57"/>
      <c r="AE1667" s="57"/>
      <c r="AF1667" s="57"/>
    </row>
    <row r="1668" spans="1:32" x14ac:dyDescent="0.2">
      <c r="A1668" s="57"/>
      <c r="B1668" s="57"/>
      <c r="C1668" s="57"/>
      <c r="D1668" s="57"/>
      <c r="E1668" s="57"/>
      <c r="F1668" s="985"/>
      <c r="G1668" s="57"/>
      <c r="H1668" s="57"/>
      <c r="I1668" s="990"/>
      <c r="J1668" s="57"/>
      <c r="K1668" s="57"/>
      <c r="L1668" s="57"/>
      <c r="M1668" s="57"/>
      <c r="N1668" s="57"/>
      <c r="O1668" s="57"/>
      <c r="P1668" s="57"/>
      <c r="Q1668" s="57"/>
      <c r="R1668" s="57"/>
      <c r="S1668" s="57"/>
      <c r="T1668" s="57"/>
      <c r="U1668" s="57"/>
      <c r="V1668" s="57"/>
      <c r="W1668" s="57"/>
      <c r="X1668" s="57"/>
      <c r="Y1668" s="57"/>
      <c r="Z1668" s="57"/>
      <c r="AA1668" s="57"/>
      <c r="AB1668" s="57"/>
      <c r="AC1668" s="57"/>
      <c r="AD1668" s="57"/>
      <c r="AE1668" s="57"/>
      <c r="AF1668" s="57"/>
    </row>
    <row r="1669" spans="1:32" x14ac:dyDescent="0.2">
      <c r="A1669" s="57"/>
      <c r="B1669" s="57"/>
      <c r="C1669" s="57"/>
      <c r="D1669" s="57"/>
      <c r="E1669" s="57"/>
      <c r="F1669" s="985"/>
      <c r="G1669" s="57"/>
      <c r="H1669" s="57"/>
      <c r="I1669" s="990"/>
      <c r="J1669" s="57"/>
      <c r="K1669" s="57"/>
      <c r="L1669" s="57"/>
      <c r="M1669" s="57"/>
      <c r="N1669" s="57"/>
      <c r="O1669" s="57"/>
      <c r="P1669" s="57"/>
      <c r="Q1669" s="57"/>
      <c r="R1669" s="57"/>
      <c r="S1669" s="57"/>
      <c r="T1669" s="57"/>
      <c r="U1669" s="57"/>
      <c r="V1669" s="57"/>
      <c r="W1669" s="57"/>
      <c r="X1669" s="57"/>
      <c r="Y1669" s="57"/>
      <c r="Z1669" s="57"/>
      <c r="AA1669" s="57"/>
      <c r="AB1669" s="57"/>
      <c r="AC1669" s="57"/>
      <c r="AD1669" s="57"/>
      <c r="AE1669" s="57"/>
      <c r="AF1669" s="57"/>
    </row>
    <row r="1670" spans="1:32" x14ac:dyDescent="0.2">
      <c r="A1670" s="57"/>
      <c r="B1670" s="57"/>
      <c r="C1670" s="57"/>
      <c r="D1670" s="57"/>
      <c r="E1670" s="57"/>
      <c r="F1670" s="985"/>
      <c r="G1670" s="57"/>
      <c r="H1670" s="57"/>
      <c r="I1670" s="990"/>
      <c r="J1670" s="57"/>
      <c r="K1670" s="57"/>
      <c r="L1670" s="57"/>
      <c r="M1670" s="57"/>
      <c r="N1670" s="57"/>
      <c r="O1670" s="57"/>
      <c r="P1670" s="57"/>
      <c r="Q1670" s="57"/>
      <c r="R1670" s="57"/>
      <c r="S1670" s="57"/>
      <c r="T1670" s="57"/>
      <c r="U1670" s="57"/>
      <c r="V1670" s="57"/>
      <c r="W1670" s="57"/>
      <c r="X1670" s="57"/>
      <c r="Y1670" s="57"/>
      <c r="Z1670" s="57"/>
      <c r="AA1670" s="57"/>
      <c r="AB1670" s="57"/>
      <c r="AC1670" s="57"/>
      <c r="AD1670" s="57"/>
      <c r="AE1670" s="57"/>
      <c r="AF1670" s="57"/>
    </row>
    <row r="1671" spans="1:32" x14ac:dyDescent="0.2">
      <c r="A1671" s="57"/>
      <c r="B1671" s="57"/>
      <c r="C1671" s="57"/>
      <c r="D1671" s="57"/>
      <c r="E1671" s="57"/>
      <c r="F1671" s="985"/>
      <c r="G1671" s="57"/>
      <c r="H1671" s="57"/>
      <c r="I1671" s="990"/>
      <c r="J1671" s="57"/>
      <c r="K1671" s="57"/>
      <c r="L1671" s="57"/>
      <c r="M1671" s="57"/>
      <c r="N1671" s="57"/>
      <c r="O1671" s="57"/>
      <c r="P1671" s="57"/>
      <c r="Q1671" s="57"/>
      <c r="R1671" s="57"/>
      <c r="S1671" s="57"/>
      <c r="T1671" s="57"/>
      <c r="U1671" s="57"/>
      <c r="V1671" s="57"/>
      <c r="W1671" s="57"/>
      <c r="X1671" s="57"/>
      <c r="Y1671" s="57"/>
      <c r="Z1671" s="57"/>
      <c r="AA1671" s="57"/>
      <c r="AB1671" s="57"/>
      <c r="AC1671" s="57"/>
      <c r="AD1671" s="57"/>
      <c r="AE1671" s="57"/>
      <c r="AF1671" s="57"/>
    </row>
    <row r="1672" spans="1:32" x14ac:dyDescent="0.2">
      <c r="A1672" s="57"/>
      <c r="B1672" s="57"/>
      <c r="C1672" s="57"/>
      <c r="D1672" s="57"/>
      <c r="E1672" s="57"/>
      <c r="F1672" s="985"/>
      <c r="G1672" s="57"/>
      <c r="H1672" s="57"/>
      <c r="I1672" s="990"/>
      <c r="J1672" s="57"/>
      <c r="K1672" s="57"/>
      <c r="L1672" s="57"/>
      <c r="M1672" s="57"/>
      <c r="N1672" s="57"/>
      <c r="O1672" s="57"/>
      <c r="P1672" s="57"/>
      <c r="Q1672" s="57"/>
      <c r="R1672" s="57"/>
      <c r="S1672" s="57"/>
      <c r="T1672" s="57"/>
      <c r="U1672" s="57"/>
      <c r="V1672" s="57"/>
      <c r="W1672" s="57"/>
      <c r="X1672" s="57"/>
      <c r="Y1672" s="57"/>
      <c r="Z1672" s="57"/>
      <c r="AA1672" s="57"/>
      <c r="AB1672" s="57"/>
      <c r="AC1672" s="57"/>
      <c r="AD1672" s="57"/>
      <c r="AE1672" s="57"/>
      <c r="AF1672" s="57"/>
    </row>
    <row r="1673" spans="1:32" x14ac:dyDescent="0.2">
      <c r="A1673" s="57"/>
      <c r="B1673" s="57"/>
      <c r="C1673" s="57"/>
      <c r="D1673" s="57"/>
      <c r="E1673" s="57"/>
      <c r="F1673" s="985"/>
      <c r="G1673" s="57"/>
      <c r="H1673" s="57"/>
      <c r="I1673" s="990"/>
      <c r="J1673" s="57"/>
      <c r="K1673" s="57"/>
      <c r="L1673" s="57"/>
      <c r="M1673" s="57"/>
      <c r="N1673" s="57"/>
      <c r="O1673" s="57"/>
      <c r="P1673" s="57"/>
      <c r="Q1673" s="57"/>
      <c r="R1673" s="57"/>
      <c r="S1673" s="57"/>
      <c r="T1673" s="57"/>
      <c r="U1673" s="57"/>
      <c r="V1673" s="57"/>
      <c r="W1673" s="57"/>
      <c r="X1673" s="57"/>
      <c r="Y1673" s="57"/>
      <c r="Z1673" s="57"/>
      <c r="AA1673" s="57"/>
      <c r="AB1673" s="57"/>
      <c r="AC1673" s="57"/>
      <c r="AD1673" s="57"/>
      <c r="AE1673" s="57"/>
      <c r="AF1673" s="57"/>
    </row>
    <row r="1674" spans="1:32" x14ac:dyDescent="0.2">
      <c r="A1674" s="57"/>
      <c r="B1674" s="57"/>
      <c r="C1674" s="57"/>
      <c r="D1674" s="57"/>
      <c r="E1674" s="57"/>
      <c r="F1674" s="985"/>
      <c r="G1674" s="57"/>
      <c r="H1674" s="57"/>
      <c r="I1674" s="990"/>
      <c r="J1674" s="57"/>
      <c r="K1674" s="57"/>
      <c r="L1674" s="57"/>
      <c r="M1674" s="57"/>
      <c r="N1674" s="57"/>
      <c r="O1674" s="57"/>
      <c r="P1674" s="57"/>
      <c r="Q1674" s="57"/>
      <c r="R1674" s="57"/>
      <c r="S1674" s="57"/>
      <c r="T1674" s="57"/>
      <c r="U1674" s="57"/>
      <c r="V1674" s="57"/>
      <c r="W1674" s="57"/>
      <c r="X1674" s="57"/>
      <c r="Y1674" s="57"/>
      <c r="Z1674" s="57"/>
      <c r="AA1674" s="57"/>
      <c r="AB1674" s="57"/>
      <c r="AC1674" s="57"/>
      <c r="AD1674" s="57"/>
      <c r="AE1674" s="57"/>
      <c r="AF1674" s="57"/>
    </row>
    <row r="1675" spans="1:32" x14ac:dyDescent="0.2">
      <c r="A1675" s="57"/>
      <c r="B1675" s="57"/>
      <c r="C1675" s="57"/>
      <c r="D1675" s="57"/>
      <c r="E1675" s="57"/>
      <c r="F1675" s="985"/>
      <c r="G1675" s="57"/>
      <c r="H1675" s="57"/>
      <c r="I1675" s="990"/>
      <c r="J1675" s="57"/>
      <c r="K1675" s="57"/>
      <c r="L1675" s="57"/>
      <c r="M1675" s="57"/>
      <c r="N1675" s="57"/>
      <c r="O1675" s="57"/>
      <c r="P1675" s="57"/>
      <c r="Q1675" s="57"/>
      <c r="R1675" s="57"/>
      <c r="S1675" s="57"/>
      <c r="T1675" s="57"/>
      <c r="U1675" s="57"/>
      <c r="V1675" s="57"/>
      <c r="W1675" s="57"/>
      <c r="X1675" s="57"/>
      <c r="Y1675" s="57"/>
      <c r="Z1675" s="57"/>
      <c r="AA1675" s="57"/>
      <c r="AB1675" s="57"/>
      <c r="AC1675" s="57"/>
      <c r="AD1675" s="57"/>
      <c r="AE1675" s="57"/>
      <c r="AF1675" s="57"/>
    </row>
    <row r="1676" spans="1:32" x14ac:dyDescent="0.2">
      <c r="A1676" s="57"/>
      <c r="B1676" s="57"/>
      <c r="C1676" s="57"/>
      <c r="D1676" s="57"/>
      <c r="E1676" s="57"/>
      <c r="F1676" s="985"/>
      <c r="G1676" s="57"/>
      <c r="H1676" s="57"/>
      <c r="I1676" s="990"/>
      <c r="J1676" s="57"/>
      <c r="K1676" s="57"/>
      <c r="L1676" s="57"/>
      <c r="M1676" s="57"/>
      <c r="N1676" s="57"/>
      <c r="O1676" s="57"/>
      <c r="P1676" s="57"/>
      <c r="Q1676" s="57"/>
      <c r="R1676" s="57"/>
      <c r="S1676" s="57"/>
      <c r="T1676" s="57"/>
      <c r="U1676" s="57"/>
      <c r="V1676" s="57"/>
      <c r="W1676" s="57"/>
      <c r="X1676" s="57"/>
      <c r="Y1676" s="57"/>
      <c r="Z1676" s="57"/>
      <c r="AA1676" s="57"/>
      <c r="AB1676" s="57"/>
      <c r="AC1676" s="57"/>
      <c r="AD1676" s="57"/>
      <c r="AE1676" s="57"/>
      <c r="AF1676" s="57"/>
    </row>
    <row r="1677" spans="1:32" x14ac:dyDescent="0.2">
      <c r="A1677" s="57"/>
      <c r="B1677" s="57"/>
      <c r="C1677" s="57"/>
      <c r="D1677" s="57"/>
      <c r="E1677" s="57"/>
      <c r="F1677" s="985"/>
      <c r="G1677" s="57"/>
      <c r="H1677" s="57"/>
      <c r="I1677" s="990"/>
      <c r="J1677" s="57"/>
      <c r="K1677" s="57"/>
      <c r="L1677" s="57"/>
      <c r="M1677" s="57"/>
      <c r="N1677" s="57"/>
      <c r="O1677" s="57"/>
      <c r="P1677" s="57"/>
      <c r="Q1677" s="57"/>
      <c r="R1677" s="57"/>
      <c r="S1677" s="57"/>
      <c r="T1677" s="57"/>
      <c r="U1677" s="57"/>
      <c r="V1677" s="57"/>
      <c r="W1677" s="57"/>
      <c r="X1677" s="57"/>
      <c r="Y1677" s="57"/>
      <c r="Z1677" s="57"/>
      <c r="AA1677" s="57"/>
      <c r="AB1677" s="57"/>
      <c r="AC1677" s="57"/>
      <c r="AD1677" s="57"/>
      <c r="AE1677" s="57"/>
      <c r="AF1677" s="57"/>
    </row>
    <row r="1678" spans="1:32" x14ac:dyDescent="0.2">
      <c r="A1678" s="57"/>
      <c r="B1678" s="57"/>
      <c r="C1678" s="57"/>
      <c r="D1678" s="57"/>
      <c r="E1678" s="57"/>
      <c r="F1678" s="985"/>
      <c r="G1678" s="57"/>
      <c r="H1678" s="57"/>
      <c r="I1678" s="990"/>
      <c r="J1678" s="57"/>
      <c r="K1678" s="57"/>
      <c r="L1678" s="57"/>
      <c r="M1678" s="57"/>
      <c r="N1678" s="57"/>
      <c r="O1678" s="57"/>
      <c r="P1678" s="57"/>
      <c r="Q1678" s="57"/>
      <c r="R1678" s="57"/>
      <c r="S1678" s="57"/>
      <c r="T1678" s="57"/>
      <c r="U1678" s="57"/>
      <c r="V1678" s="57"/>
      <c r="W1678" s="57"/>
      <c r="X1678" s="57"/>
      <c r="Y1678" s="57"/>
      <c r="Z1678" s="57"/>
      <c r="AA1678" s="57"/>
      <c r="AB1678" s="57"/>
      <c r="AC1678" s="57"/>
      <c r="AD1678" s="57"/>
      <c r="AE1678" s="57"/>
      <c r="AF1678" s="57"/>
    </row>
    <row r="1679" spans="1:32" x14ac:dyDescent="0.2">
      <c r="A1679" s="57"/>
      <c r="B1679" s="57"/>
      <c r="C1679" s="57"/>
      <c r="D1679" s="57"/>
      <c r="E1679" s="57"/>
      <c r="F1679" s="985"/>
      <c r="G1679" s="57"/>
      <c r="H1679" s="57"/>
      <c r="I1679" s="990"/>
      <c r="J1679" s="57"/>
      <c r="K1679" s="57"/>
      <c r="L1679" s="57"/>
      <c r="M1679" s="57"/>
      <c r="N1679" s="57"/>
      <c r="O1679" s="57"/>
      <c r="P1679" s="57"/>
      <c r="Q1679" s="57"/>
      <c r="R1679" s="57"/>
      <c r="S1679" s="57"/>
      <c r="T1679" s="57"/>
      <c r="U1679" s="57"/>
      <c r="V1679" s="57"/>
      <c r="W1679" s="57"/>
      <c r="X1679" s="57"/>
      <c r="Y1679" s="57"/>
      <c r="Z1679" s="57"/>
      <c r="AA1679" s="57"/>
      <c r="AB1679" s="57"/>
      <c r="AC1679" s="57"/>
      <c r="AD1679" s="57"/>
      <c r="AE1679" s="57"/>
      <c r="AF1679" s="57"/>
    </row>
    <row r="1680" spans="1:32" x14ac:dyDescent="0.2">
      <c r="A1680" s="57"/>
      <c r="B1680" s="57"/>
      <c r="C1680" s="57"/>
      <c r="D1680" s="57"/>
      <c r="E1680" s="57"/>
      <c r="F1680" s="985"/>
      <c r="G1680" s="57"/>
      <c r="H1680" s="57"/>
      <c r="I1680" s="990"/>
      <c r="J1680" s="57"/>
      <c r="K1680" s="57"/>
      <c r="L1680" s="57"/>
      <c r="M1680" s="57"/>
      <c r="N1680" s="57"/>
      <c r="O1680" s="57"/>
      <c r="P1680" s="57"/>
      <c r="Q1680" s="57"/>
      <c r="R1680" s="57"/>
      <c r="S1680" s="57"/>
      <c r="T1680" s="57"/>
      <c r="U1680" s="57"/>
      <c r="V1680" s="57"/>
      <c r="W1680" s="57"/>
      <c r="X1680" s="57"/>
      <c r="Y1680" s="57"/>
      <c r="Z1680" s="57"/>
      <c r="AA1680" s="57"/>
      <c r="AB1680" s="57"/>
      <c r="AC1680" s="57"/>
      <c r="AD1680" s="57"/>
      <c r="AE1680" s="57"/>
      <c r="AF1680" s="57"/>
    </row>
    <row r="1681" spans="1:32" x14ac:dyDescent="0.2">
      <c r="A1681" s="57"/>
      <c r="B1681" s="57"/>
      <c r="C1681" s="57"/>
      <c r="D1681" s="57"/>
      <c r="E1681" s="57"/>
      <c r="F1681" s="985"/>
      <c r="G1681" s="57"/>
      <c r="H1681" s="57"/>
      <c r="I1681" s="990"/>
      <c r="J1681" s="57"/>
      <c r="K1681" s="57"/>
      <c r="L1681" s="57"/>
      <c r="M1681" s="57"/>
      <c r="N1681" s="57"/>
      <c r="O1681" s="57"/>
      <c r="P1681" s="57"/>
      <c r="Q1681" s="57"/>
      <c r="R1681" s="57"/>
      <c r="S1681" s="57"/>
      <c r="T1681" s="57"/>
      <c r="U1681" s="57"/>
      <c r="V1681" s="57"/>
      <c r="W1681" s="57"/>
      <c r="X1681" s="57"/>
      <c r="Y1681" s="57"/>
      <c r="Z1681" s="57"/>
      <c r="AA1681" s="57"/>
      <c r="AB1681" s="57"/>
      <c r="AC1681" s="57"/>
      <c r="AD1681" s="57"/>
      <c r="AE1681" s="57"/>
      <c r="AF1681" s="57"/>
    </row>
    <row r="1682" spans="1:32" x14ac:dyDescent="0.2">
      <c r="A1682" s="57"/>
      <c r="B1682" s="57"/>
      <c r="C1682" s="57"/>
      <c r="D1682" s="57"/>
      <c r="E1682" s="57"/>
      <c r="F1682" s="985"/>
      <c r="G1682" s="57"/>
      <c r="H1682" s="57"/>
      <c r="I1682" s="990"/>
      <c r="J1682" s="57"/>
      <c r="K1682" s="57"/>
      <c r="L1682" s="57"/>
      <c r="M1682" s="57"/>
      <c r="N1682" s="57"/>
      <c r="O1682" s="57"/>
      <c r="P1682" s="57"/>
      <c r="Q1682" s="57"/>
      <c r="R1682" s="57"/>
      <c r="S1682" s="57"/>
      <c r="T1682" s="57"/>
      <c r="U1682" s="57"/>
      <c r="V1682" s="57"/>
      <c r="W1682" s="57"/>
      <c r="X1682" s="57"/>
      <c r="Y1682" s="57"/>
      <c r="Z1682" s="57"/>
      <c r="AA1682" s="57"/>
      <c r="AB1682" s="57"/>
      <c r="AC1682" s="57"/>
      <c r="AD1682" s="57"/>
      <c r="AE1682" s="57"/>
      <c r="AF1682" s="57"/>
    </row>
    <row r="1683" spans="1:32" x14ac:dyDescent="0.2">
      <c r="A1683" s="57"/>
      <c r="B1683" s="57"/>
      <c r="C1683" s="57"/>
      <c r="D1683" s="57"/>
      <c r="E1683" s="57"/>
      <c r="F1683" s="985"/>
      <c r="G1683" s="57"/>
      <c r="H1683" s="57"/>
      <c r="I1683" s="990"/>
      <c r="J1683" s="57"/>
      <c r="K1683" s="57"/>
      <c r="L1683" s="57"/>
      <c r="M1683" s="57"/>
      <c r="N1683" s="57"/>
      <c r="O1683" s="57"/>
      <c r="P1683" s="57"/>
      <c r="Q1683" s="57"/>
      <c r="R1683" s="57"/>
      <c r="S1683" s="57"/>
      <c r="T1683" s="57"/>
      <c r="U1683" s="57"/>
      <c r="V1683" s="57"/>
      <c r="W1683" s="57"/>
      <c r="X1683" s="57"/>
      <c r="Y1683" s="57"/>
      <c r="Z1683" s="57"/>
      <c r="AA1683" s="57"/>
      <c r="AB1683" s="57"/>
      <c r="AC1683" s="57"/>
      <c r="AD1683" s="57"/>
      <c r="AE1683" s="57"/>
      <c r="AF1683" s="57"/>
    </row>
    <row r="1684" spans="1:32" x14ac:dyDescent="0.2">
      <c r="A1684" s="57"/>
      <c r="B1684" s="57"/>
      <c r="C1684" s="57"/>
      <c r="D1684" s="57"/>
      <c r="E1684" s="57"/>
      <c r="F1684" s="985"/>
      <c r="G1684" s="57"/>
      <c r="H1684" s="57"/>
      <c r="I1684" s="990"/>
      <c r="J1684" s="57"/>
      <c r="K1684" s="57"/>
      <c r="L1684" s="57"/>
      <c r="M1684" s="57"/>
      <c r="N1684" s="57"/>
      <c r="O1684" s="57"/>
      <c r="P1684" s="57"/>
      <c r="Q1684" s="57"/>
      <c r="R1684" s="57"/>
      <c r="S1684" s="57"/>
      <c r="T1684" s="57"/>
      <c r="U1684" s="57"/>
      <c r="V1684" s="57"/>
      <c r="W1684" s="57"/>
      <c r="X1684" s="57"/>
      <c r="Y1684" s="57"/>
      <c r="Z1684" s="57"/>
      <c r="AA1684" s="57"/>
      <c r="AB1684" s="57"/>
      <c r="AC1684" s="57"/>
      <c r="AD1684" s="57"/>
      <c r="AE1684" s="57"/>
      <c r="AF1684" s="57"/>
    </row>
    <row r="1685" spans="1:32" x14ac:dyDescent="0.2">
      <c r="A1685" s="57"/>
      <c r="B1685" s="57"/>
      <c r="C1685" s="57"/>
      <c r="D1685" s="57"/>
      <c r="E1685" s="57"/>
      <c r="F1685" s="985"/>
      <c r="G1685" s="57"/>
      <c r="H1685" s="57"/>
      <c r="I1685" s="990"/>
      <c r="J1685" s="57"/>
      <c r="K1685" s="57"/>
      <c r="L1685" s="57"/>
      <c r="M1685" s="57"/>
      <c r="N1685" s="57"/>
      <c r="O1685" s="57"/>
      <c r="P1685" s="57"/>
      <c r="Q1685" s="57"/>
      <c r="R1685" s="57"/>
      <c r="S1685" s="57"/>
      <c r="T1685" s="57"/>
      <c r="U1685" s="57"/>
      <c r="V1685" s="57"/>
      <c r="W1685" s="57"/>
      <c r="X1685" s="57"/>
      <c r="Y1685" s="57"/>
      <c r="Z1685" s="57"/>
      <c r="AA1685" s="57"/>
      <c r="AB1685" s="57"/>
      <c r="AC1685" s="57"/>
      <c r="AD1685" s="57"/>
      <c r="AE1685" s="57"/>
      <c r="AF1685" s="57"/>
    </row>
    <row r="1686" spans="1:32" x14ac:dyDescent="0.2">
      <c r="A1686" s="57"/>
      <c r="B1686" s="57"/>
      <c r="C1686" s="57"/>
      <c r="D1686" s="57"/>
      <c r="E1686" s="57"/>
      <c r="F1686" s="985"/>
      <c r="G1686" s="57"/>
      <c r="H1686" s="57"/>
      <c r="I1686" s="990"/>
      <c r="J1686" s="57"/>
      <c r="K1686" s="57"/>
      <c r="L1686" s="57"/>
      <c r="M1686" s="57"/>
      <c r="N1686" s="57"/>
      <c r="O1686" s="57"/>
      <c r="P1686" s="57"/>
      <c r="Q1686" s="57"/>
      <c r="R1686" s="57"/>
      <c r="S1686" s="57"/>
      <c r="T1686" s="57"/>
      <c r="U1686" s="57"/>
      <c r="V1686" s="57"/>
      <c r="W1686" s="57"/>
      <c r="X1686" s="57"/>
      <c r="Y1686" s="57"/>
      <c r="Z1686" s="57"/>
      <c r="AA1686" s="57"/>
      <c r="AB1686" s="57"/>
      <c r="AC1686" s="57"/>
      <c r="AD1686" s="57"/>
      <c r="AE1686" s="57"/>
      <c r="AF1686" s="57"/>
    </row>
    <row r="1687" spans="1:32" x14ac:dyDescent="0.2">
      <c r="A1687" s="57"/>
      <c r="B1687" s="57"/>
      <c r="C1687" s="57"/>
      <c r="D1687" s="57"/>
      <c r="E1687" s="57"/>
      <c r="F1687" s="985"/>
      <c r="G1687" s="57"/>
      <c r="H1687" s="57"/>
      <c r="I1687" s="990"/>
      <c r="J1687" s="57"/>
      <c r="K1687" s="57"/>
      <c r="L1687" s="57"/>
      <c r="M1687" s="57"/>
      <c r="N1687" s="57"/>
      <c r="O1687" s="57"/>
      <c r="P1687" s="57"/>
      <c r="Q1687" s="57"/>
      <c r="R1687" s="57"/>
      <c r="S1687" s="57"/>
      <c r="T1687" s="57"/>
      <c r="U1687" s="57"/>
      <c r="V1687" s="57"/>
      <c r="W1687" s="57"/>
      <c r="X1687" s="57"/>
      <c r="Y1687" s="57"/>
      <c r="Z1687" s="57"/>
      <c r="AA1687" s="57"/>
      <c r="AB1687" s="57"/>
      <c r="AC1687" s="57"/>
      <c r="AD1687" s="57"/>
      <c r="AE1687" s="57"/>
      <c r="AF1687" s="57"/>
    </row>
    <row r="1688" spans="1:32" x14ac:dyDescent="0.2">
      <c r="A1688" s="57"/>
      <c r="B1688" s="57"/>
      <c r="C1688" s="57"/>
      <c r="D1688" s="57"/>
      <c r="E1688" s="57"/>
      <c r="F1688" s="985"/>
      <c r="G1688" s="57"/>
      <c r="H1688" s="57"/>
      <c r="I1688" s="990"/>
      <c r="J1688" s="57"/>
      <c r="K1688" s="57"/>
      <c r="L1688" s="57"/>
      <c r="M1688" s="57"/>
      <c r="N1688" s="57"/>
      <c r="O1688" s="57"/>
      <c r="P1688" s="57"/>
      <c r="Q1688" s="57"/>
      <c r="R1688" s="57"/>
      <c r="S1688" s="57"/>
      <c r="T1688" s="57"/>
      <c r="U1688" s="57"/>
      <c r="V1688" s="57"/>
      <c r="W1688" s="57"/>
      <c r="X1688" s="57"/>
      <c r="Y1688" s="57"/>
      <c r="Z1688" s="57"/>
      <c r="AA1688" s="57"/>
      <c r="AB1688" s="57"/>
      <c r="AC1688" s="57"/>
      <c r="AD1688" s="57"/>
      <c r="AE1688" s="57"/>
      <c r="AF1688" s="57"/>
    </row>
    <row r="1689" spans="1:32" x14ac:dyDescent="0.2">
      <c r="A1689" s="57"/>
      <c r="B1689" s="57"/>
      <c r="C1689" s="57"/>
      <c r="D1689" s="57"/>
      <c r="E1689" s="57"/>
      <c r="F1689" s="985"/>
      <c r="G1689" s="57"/>
      <c r="H1689" s="57"/>
      <c r="I1689" s="990"/>
      <c r="J1689" s="57"/>
      <c r="K1689" s="57"/>
      <c r="L1689" s="57"/>
      <c r="M1689" s="57"/>
      <c r="N1689" s="57"/>
      <c r="O1689" s="57"/>
      <c r="P1689" s="57"/>
      <c r="Q1689" s="57"/>
      <c r="R1689" s="57"/>
      <c r="S1689" s="57"/>
      <c r="T1689" s="57"/>
      <c r="U1689" s="57"/>
      <c r="V1689" s="57"/>
      <c r="W1689" s="57"/>
      <c r="X1689" s="57"/>
      <c r="Y1689" s="57"/>
      <c r="Z1689" s="57"/>
      <c r="AA1689" s="57"/>
      <c r="AB1689" s="57"/>
      <c r="AC1689" s="57"/>
      <c r="AD1689" s="57"/>
      <c r="AE1689" s="57"/>
      <c r="AF1689" s="57"/>
    </row>
    <row r="1690" spans="1:32" x14ac:dyDescent="0.2">
      <c r="A1690" s="57"/>
      <c r="B1690" s="57"/>
      <c r="C1690" s="57"/>
      <c r="D1690" s="57"/>
      <c r="E1690" s="57"/>
      <c r="F1690" s="985"/>
      <c r="G1690" s="57"/>
      <c r="H1690" s="57"/>
      <c r="I1690" s="990"/>
      <c r="J1690" s="57"/>
      <c r="K1690" s="57"/>
      <c r="L1690" s="57"/>
      <c r="M1690" s="57"/>
      <c r="N1690" s="57"/>
      <c r="O1690" s="57"/>
      <c r="P1690" s="57"/>
      <c r="Q1690" s="57"/>
      <c r="R1690" s="57"/>
      <c r="S1690" s="57"/>
      <c r="T1690" s="57"/>
      <c r="U1690" s="57"/>
      <c r="V1690" s="57"/>
      <c r="W1690" s="57"/>
      <c r="X1690" s="57"/>
      <c r="Y1690" s="57"/>
      <c r="Z1690" s="57"/>
      <c r="AA1690" s="57"/>
      <c r="AB1690" s="57"/>
      <c r="AC1690" s="57"/>
      <c r="AD1690" s="57"/>
      <c r="AE1690" s="57"/>
      <c r="AF1690" s="57"/>
    </row>
    <row r="1691" spans="1:32" x14ac:dyDescent="0.2">
      <c r="A1691" s="57"/>
      <c r="B1691" s="57"/>
      <c r="C1691" s="57"/>
      <c r="D1691" s="57"/>
      <c r="E1691" s="57"/>
      <c r="F1691" s="985"/>
      <c r="G1691" s="57"/>
      <c r="H1691" s="57"/>
      <c r="I1691" s="990"/>
      <c r="J1691" s="57"/>
      <c r="K1691" s="57"/>
      <c r="L1691" s="57"/>
      <c r="M1691" s="57"/>
      <c r="N1691" s="57"/>
      <c r="O1691" s="57"/>
      <c r="P1691" s="57"/>
      <c r="Q1691" s="57"/>
      <c r="R1691" s="57"/>
      <c r="S1691" s="57"/>
      <c r="T1691" s="57"/>
      <c r="U1691" s="57"/>
      <c r="V1691" s="57"/>
      <c r="W1691" s="57"/>
      <c r="X1691" s="57"/>
      <c r="Y1691" s="57"/>
      <c r="Z1691" s="57"/>
      <c r="AA1691" s="57"/>
      <c r="AB1691" s="57"/>
      <c r="AC1691" s="57"/>
      <c r="AD1691" s="57"/>
      <c r="AE1691" s="57"/>
      <c r="AF1691" s="57"/>
    </row>
    <row r="1692" spans="1:32" x14ac:dyDescent="0.2">
      <c r="A1692" s="57"/>
      <c r="B1692" s="57"/>
      <c r="C1692" s="57"/>
      <c r="D1692" s="57"/>
      <c r="E1692" s="57"/>
      <c r="F1692" s="985"/>
      <c r="G1692" s="57"/>
      <c r="H1692" s="57"/>
      <c r="I1692" s="990"/>
      <c r="J1692" s="57"/>
      <c r="K1692" s="57"/>
      <c r="L1692" s="57"/>
      <c r="M1692" s="57"/>
      <c r="N1692" s="57"/>
      <c r="O1692" s="57"/>
      <c r="P1692" s="57"/>
      <c r="Q1692" s="57"/>
      <c r="R1692" s="57"/>
      <c r="S1692" s="57"/>
      <c r="T1692" s="57"/>
      <c r="U1692" s="57"/>
      <c r="V1692" s="57"/>
      <c r="W1692" s="57"/>
      <c r="X1692" s="57"/>
      <c r="Y1692" s="57"/>
      <c r="Z1692" s="57"/>
      <c r="AA1692" s="57"/>
      <c r="AB1692" s="57"/>
      <c r="AC1692" s="57"/>
      <c r="AD1692" s="57"/>
      <c r="AE1692" s="57"/>
      <c r="AF1692" s="57"/>
    </row>
    <row r="1693" spans="1:32" x14ac:dyDescent="0.2">
      <c r="A1693" s="57"/>
      <c r="B1693" s="57"/>
      <c r="C1693" s="57"/>
      <c r="D1693" s="57"/>
      <c r="E1693" s="57"/>
      <c r="F1693" s="985"/>
      <c r="G1693" s="57"/>
      <c r="H1693" s="57"/>
      <c r="I1693" s="990"/>
      <c r="J1693" s="57"/>
      <c r="K1693" s="57"/>
      <c r="L1693" s="57"/>
      <c r="M1693" s="57"/>
      <c r="N1693" s="57"/>
      <c r="O1693" s="57"/>
      <c r="P1693" s="57"/>
      <c r="Q1693" s="57"/>
      <c r="R1693" s="57"/>
      <c r="S1693" s="57"/>
      <c r="T1693" s="57"/>
      <c r="U1693" s="57"/>
      <c r="V1693" s="57"/>
      <c r="W1693" s="57"/>
      <c r="X1693" s="57"/>
      <c r="Y1693" s="57"/>
      <c r="Z1693" s="57"/>
      <c r="AA1693" s="57"/>
      <c r="AB1693" s="57"/>
      <c r="AC1693" s="57"/>
      <c r="AD1693" s="57"/>
      <c r="AE1693" s="57"/>
      <c r="AF1693" s="57"/>
    </row>
    <row r="1694" spans="1:32" x14ac:dyDescent="0.2">
      <c r="A1694" s="57"/>
      <c r="B1694" s="57"/>
      <c r="C1694" s="57"/>
      <c r="D1694" s="57"/>
      <c r="E1694" s="57"/>
      <c r="F1694" s="985"/>
      <c r="G1694" s="57"/>
      <c r="H1694" s="57"/>
      <c r="I1694" s="990"/>
      <c r="J1694" s="57"/>
      <c r="K1694" s="57"/>
      <c r="L1694" s="57"/>
      <c r="M1694" s="57"/>
      <c r="N1694" s="57"/>
      <c r="O1694" s="57"/>
      <c r="P1694" s="57"/>
      <c r="Q1694" s="57"/>
      <c r="R1694" s="57"/>
      <c r="S1694" s="57"/>
      <c r="T1694" s="57"/>
      <c r="U1694" s="57"/>
      <c r="V1694" s="57"/>
      <c r="W1694" s="57"/>
      <c r="X1694" s="57"/>
      <c r="Y1694" s="57"/>
      <c r="Z1694" s="57"/>
      <c r="AA1694" s="57"/>
      <c r="AB1694" s="57"/>
      <c r="AC1694" s="57"/>
      <c r="AD1694" s="57"/>
      <c r="AE1694" s="57"/>
      <c r="AF1694" s="57"/>
    </row>
    <row r="1695" spans="1:32" x14ac:dyDescent="0.2">
      <c r="A1695" s="57"/>
      <c r="B1695" s="57"/>
      <c r="C1695" s="57"/>
      <c r="D1695" s="57"/>
      <c r="E1695" s="57"/>
      <c r="F1695" s="985"/>
      <c r="G1695" s="57"/>
      <c r="H1695" s="57"/>
      <c r="I1695" s="990"/>
      <c r="J1695" s="57"/>
      <c r="K1695" s="57"/>
      <c r="L1695" s="57"/>
      <c r="M1695" s="57"/>
      <c r="N1695" s="57"/>
      <c r="O1695" s="57"/>
      <c r="P1695" s="57"/>
      <c r="Q1695" s="57"/>
      <c r="R1695" s="57"/>
      <c r="S1695" s="57"/>
      <c r="T1695" s="57"/>
      <c r="U1695" s="57"/>
      <c r="V1695" s="57"/>
      <c r="W1695" s="57"/>
      <c r="X1695" s="57"/>
      <c r="Y1695" s="57"/>
      <c r="Z1695" s="57"/>
      <c r="AA1695" s="57"/>
      <c r="AB1695" s="57"/>
      <c r="AC1695" s="57"/>
      <c r="AD1695" s="57"/>
      <c r="AE1695" s="57"/>
      <c r="AF1695" s="57"/>
    </row>
    <row r="1696" spans="1:32" x14ac:dyDescent="0.2">
      <c r="A1696" s="57"/>
      <c r="B1696" s="57"/>
      <c r="C1696" s="57"/>
      <c r="D1696" s="57"/>
      <c r="E1696" s="57"/>
      <c r="F1696" s="985"/>
      <c r="G1696" s="57"/>
      <c r="H1696" s="57"/>
      <c r="I1696" s="990"/>
      <c r="J1696" s="57"/>
      <c r="K1696" s="57"/>
      <c r="L1696" s="57"/>
      <c r="M1696" s="57"/>
      <c r="N1696" s="57"/>
      <c r="O1696" s="57"/>
      <c r="P1696" s="57"/>
      <c r="Q1696" s="57"/>
      <c r="R1696" s="57"/>
      <c r="S1696" s="57"/>
      <c r="T1696" s="57"/>
      <c r="U1696" s="57"/>
      <c r="V1696" s="57"/>
      <c r="W1696" s="57"/>
      <c r="X1696" s="57"/>
      <c r="Y1696" s="57"/>
      <c r="Z1696" s="57"/>
      <c r="AA1696" s="57"/>
      <c r="AB1696" s="57"/>
      <c r="AC1696" s="57"/>
      <c r="AD1696" s="57"/>
      <c r="AE1696" s="57"/>
      <c r="AF1696" s="57"/>
    </row>
    <row r="1697" spans="1:32" x14ac:dyDescent="0.2">
      <c r="A1697" s="57"/>
      <c r="B1697" s="57"/>
      <c r="C1697" s="57"/>
      <c r="D1697" s="57"/>
      <c r="E1697" s="57"/>
      <c r="F1697" s="985"/>
      <c r="G1697" s="57"/>
      <c r="H1697" s="57"/>
      <c r="I1697" s="990"/>
      <c r="J1697" s="57"/>
      <c r="K1697" s="57"/>
      <c r="L1697" s="57"/>
      <c r="M1697" s="57"/>
      <c r="N1697" s="57"/>
      <c r="O1697" s="57"/>
      <c r="P1697" s="57"/>
      <c r="Q1697" s="57"/>
      <c r="R1697" s="57"/>
      <c r="S1697" s="57"/>
      <c r="T1697" s="57"/>
      <c r="U1697" s="57"/>
      <c r="V1697" s="57"/>
      <c r="W1697" s="57"/>
      <c r="X1697" s="57"/>
      <c r="Y1697" s="57"/>
      <c r="Z1697" s="57"/>
      <c r="AA1697" s="57"/>
      <c r="AB1697" s="57"/>
      <c r="AC1697" s="57"/>
      <c r="AD1697" s="57"/>
      <c r="AE1697" s="57"/>
      <c r="AF1697" s="57"/>
    </row>
    <row r="1698" spans="1:32" x14ac:dyDescent="0.2">
      <c r="A1698" s="57"/>
      <c r="B1698" s="57"/>
      <c r="C1698" s="57"/>
      <c r="D1698" s="57"/>
      <c r="E1698" s="57"/>
      <c r="F1698" s="985"/>
      <c r="G1698" s="57"/>
      <c r="H1698" s="57"/>
      <c r="I1698" s="990"/>
      <c r="J1698" s="57"/>
      <c r="K1698" s="57"/>
      <c r="L1698" s="57"/>
      <c r="M1698" s="57"/>
      <c r="N1698" s="57"/>
      <c r="O1698" s="57"/>
      <c r="P1698" s="57"/>
      <c r="Q1698" s="57"/>
      <c r="R1698" s="57"/>
      <c r="S1698" s="57"/>
      <c r="T1698" s="57"/>
      <c r="U1698" s="57"/>
      <c r="V1698" s="57"/>
      <c r="W1698" s="57"/>
      <c r="X1698" s="57"/>
      <c r="Y1698" s="57"/>
      <c r="Z1698" s="57"/>
      <c r="AA1698" s="57"/>
      <c r="AB1698" s="57"/>
      <c r="AC1698" s="57"/>
      <c r="AD1698" s="57"/>
      <c r="AE1698" s="57"/>
      <c r="AF1698" s="57"/>
    </row>
    <row r="1699" spans="1:32" x14ac:dyDescent="0.2">
      <c r="A1699" s="57"/>
      <c r="B1699" s="57"/>
      <c r="C1699" s="57"/>
      <c r="D1699" s="57"/>
      <c r="E1699" s="57"/>
      <c r="F1699" s="985"/>
      <c r="G1699" s="57"/>
      <c r="H1699" s="57"/>
      <c r="I1699" s="990"/>
      <c r="J1699" s="57"/>
      <c r="K1699" s="57"/>
      <c r="L1699" s="57"/>
      <c r="M1699" s="57"/>
      <c r="N1699" s="57"/>
      <c r="O1699" s="57"/>
      <c r="P1699" s="57"/>
      <c r="Q1699" s="57"/>
      <c r="R1699" s="57"/>
      <c r="S1699" s="57"/>
      <c r="T1699" s="57"/>
      <c r="U1699" s="57"/>
      <c r="V1699" s="57"/>
      <c r="W1699" s="57"/>
      <c r="X1699" s="57"/>
      <c r="Y1699" s="57"/>
      <c r="Z1699" s="57"/>
      <c r="AA1699" s="57"/>
      <c r="AB1699" s="57"/>
      <c r="AC1699" s="57"/>
      <c r="AD1699" s="57"/>
      <c r="AE1699" s="57"/>
      <c r="AF1699" s="57"/>
    </row>
    <row r="1700" spans="1:32" x14ac:dyDescent="0.2">
      <c r="A1700" s="57"/>
      <c r="B1700" s="57"/>
      <c r="C1700" s="57"/>
      <c r="D1700" s="57"/>
      <c r="E1700" s="57"/>
      <c r="F1700" s="985"/>
      <c r="G1700" s="57"/>
      <c r="H1700" s="57"/>
      <c r="I1700" s="990"/>
      <c r="J1700" s="57"/>
      <c r="K1700" s="57"/>
      <c r="L1700" s="57"/>
      <c r="M1700" s="57"/>
      <c r="N1700" s="57"/>
      <c r="O1700" s="57"/>
      <c r="P1700" s="57"/>
      <c r="Q1700" s="57"/>
      <c r="R1700" s="57"/>
      <c r="S1700" s="57"/>
      <c r="T1700" s="57"/>
      <c r="U1700" s="57"/>
      <c r="V1700" s="57"/>
      <c r="W1700" s="57"/>
      <c r="X1700" s="57"/>
      <c r="Y1700" s="57"/>
      <c r="Z1700" s="57"/>
      <c r="AA1700" s="57"/>
      <c r="AB1700" s="57"/>
      <c r="AC1700" s="57"/>
      <c r="AD1700" s="57"/>
      <c r="AE1700" s="57"/>
      <c r="AF1700" s="57"/>
    </row>
    <row r="1701" spans="1:32" x14ac:dyDescent="0.2">
      <c r="A1701" s="57"/>
      <c r="B1701" s="57"/>
      <c r="C1701" s="57"/>
      <c r="D1701" s="57"/>
      <c r="E1701" s="57"/>
      <c r="F1701" s="985"/>
      <c r="G1701" s="57"/>
      <c r="H1701" s="57"/>
      <c r="I1701" s="990"/>
      <c r="J1701" s="57"/>
      <c r="K1701" s="57"/>
      <c r="L1701" s="57"/>
      <c r="M1701" s="57"/>
      <c r="N1701" s="57"/>
      <c r="O1701" s="57"/>
      <c r="P1701" s="57"/>
      <c r="Q1701" s="57"/>
      <c r="R1701" s="57"/>
      <c r="S1701" s="57"/>
      <c r="T1701" s="57"/>
      <c r="U1701" s="57"/>
      <c r="V1701" s="57"/>
      <c r="W1701" s="57"/>
      <c r="X1701" s="57"/>
      <c r="Y1701" s="57"/>
      <c r="Z1701" s="57"/>
      <c r="AA1701" s="57"/>
      <c r="AB1701" s="57"/>
      <c r="AC1701" s="57"/>
      <c r="AD1701" s="57"/>
      <c r="AE1701" s="57"/>
      <c r="AF1701" s="57"/>
    </row>
    <row r="1702" spans="1:32" x14ac:dyDescent="0.2">
      <c r="A1702" s="57"/>
      <c r="B1702" s="57"/>
      <c r="C1702" s="57"/>
      <c r="D1702" s="57"/>
      <c r="E1702" s="57"/>
      <c r="F1702" s="985"/>
      <c r="G1702" s="57"/>
      <c r="H1702" s="57"/>
      <c r="I1702" s="990"/>
      <c r="J1702" s="57"/>
      <c r="K1702" s="57"/>
      <c r="L1702" s="57"/>
      <c r="M1702" s="57"/>
      <c r="N1702" s="57"/>
      <c r="O1702" s="57"/>
      <c r="P1702" s="57"/>
      <c r="Q1702" s="57"/>
      <c r="R1702" s="57"/>
      <c r="S1702" s="57"/>
      <c r="T1702" s="57"/>
      <c r="U1702" s="57"/>
      <c r="V1702" s="57"/>
      <c r="W1702" s="57"/>
      <c r="X1702" s="57"/>
      <c r="Y1702" s="57"/>
      <c r="Z1702" s="57"/>
      <c r="AA1702" s="57"/>
      <c r="AB1702" s="57"/>
      <c r="AC1702" s="57"/>
      <c r="AD1702" s="57"/>
      <c r="AE1702" s="57"/>
      <c r="AF1702" s="57"/>
    </row>
    <row r="1703" spans="1:32" x14ac:dyDescent="0.2">
      <c r="A1703" s="57"/>
      <c r="B1703" s="57"/>
      <c r="C1703" s="57"/>
      <c r="D1703" s="57"/>
      <c r="E1703" s="57"/>
      <c r="F1703" s="985"/>
      <c r="G1703" s="57"/>
      <c r="H1703" s="57"/>
      <c r="I1703" s="990"/>
      <c r="J1703" s="57"/>
      <c r="K1703" s="57"/>
      <c r="L1703" s="57"/>
      <c r="M1703" s="57"/>
      <c r="N1703" s="57"/>
      <c r="O1703" s="57"/>
      <c r="P1703" s="57"/>
      <c r="Q1703" s="57"/>
      <c r="R1703" s="57"/>
      <c r="S1703" s="57"/>
      <c r="T1703" s="57"/>
      <c r="U1703" s="57"/>
      <c r="V1703" s="57"/>
      <c r="W1703" s="57"/>
      <c r="X1703" s="57"/>
      <c r="Y1703" s="57"/>
      <c r="Z1703" s="57"/>
      <c r="AA1703" s="57"/>
      <c r="AB1703" s="57"/>
      <c r="AC1703" s="57"/>
      <c r="AD1703" s="57"/>
      <c r="AE1703" s="57"/>
      <c r="AF1703" s="57"/>
    </row>
    <row r="1704" spans="1:32" x14ac:dyDescent="0.2">
      <c r="A1704" s="57"/>
      <c r="B1704" s="57"/>
      <c r="C1704" s="57"/>
      <c r="D1704" s="57"/>
      <c r="E1704" s="57"/>
      <c r="F1704" s="985"/>
      <c r="G1704" s="57"/>
      <c r="H1704" s="57"/>
      <c r="I1704" s="990"/>
      <c r="J1704" s="57"/>
      <c r="K1704" s="57"/>
      <c r="L1704" s="57"/>
      <c r="M1704" s="57"/>
      <c r="N1704" s="57"/>
      <c r="O1704" s="57"/>
      <c r="P1704" s="57"/>
      <c r="Q1704" s="57"/>
      <c r="R1704" s="57"/>
      <c r="S1704" s="57"/>
      <c r="T1704" s="57"/>
      <c r="U1704" s="57"/>
      <c r="V1704" s="57"/>
      <c r="W1704" s="57"/>
      <c r="X1704" s="57"/>
      <c r="Y1704" s="57"/>
      <c r="Z1704" s="57"/>
      <c r="AA1704" s="57"/>
      <c r="AB1704" s="57"/>
      <c r="AC1704" s="57"/>
      <c r="AD1704" s="57"/>
      <c r="AE1704" s="57"/>
      <c r="AF1704" s="57"/>
    </row>
    <row r="1705" spans="1:32" x14ac:dyDescent="0.2">
      <c r="A1705" s="57"/>
      <c r="B1705" s="57"/>
      <c r="C1705" s="57"/>
      <c r="D1705" s="57"/>
      <c r="E1705" s="57"/>
      <c r="F1705" s="985"/>
      <c r="G1705" s="57"/>
      <c r="H1705" s="57"/>
      <c r="I1705" s="990"/>
      <c r="J1705" s="57"/>
      <c r="K1705" s="57"/>
      <c r="L1705" s="57"/>
      <c r="M1705" s="57"/>
      <c r="N1705" s="57"/>
      <c r="O1705" s="57"/>
      <c r="P1705" s="57"/>
      <c r="Q1705" s="57"/>
      <c r="R1705" s="57"/>
      <c r="S1705" s="57"/>
      <c r="T1705" s="57"/>
      <c r="U1705" s="57"/>
      <c r="V1705" s="57"/>
      <c r="W1705" s="57"/>
      <c r="X1705" s="57"/>
      <c r="Y1705" s="57"/>
      <c r="Z1705" s="57"/>
      <c r="AA1705" s="57"/>
      <c r="AB1705" s="57"/>
      <c r="AC1705" s="57"/>
      <c r="AD1705" s="57"/>
      <c r="AE1705" s="57"/>
      <c r="AF1705" s="57"/>
    </row>
    <row r="1706" spans="1:32" x14ac:dyDescent="0.2">
      <c r="A1706" s="57"/>
      <c r="B1706" s="57"/>
      <c r="C1706" s="57"/>
      <c r="D1706" s="57"/>
      <c r="E1706" s="57"/>
      <c r="F1706" s="985"/>
      <c r="G1706" s="57"/>
      <c r="H1706" s="57"/>
      <c r="I1706" s="990"/>
      <c r="J1706" s="57"/>
      <c r="K1706" s="57"/>
      <c r="L1706" s="57"/>
      <c r="M1706" s="57"/>
      <c r="N1706" s="57"/>
      <c r="O1706" s="57"/>
      <c r="P1706" s="57"/>
      <c r="Q1706" s="57"/>
      <c r="R1706" s="57"/>
      <c r="S1706" s="57"/>
      <c r="T1706" s="57"/>
      <c r="U1706" s="57"/>
      <c r="V1706" s="57"/>
      <c r="W1706" s="57"/>
      <c r="X1706" s="57"/>
      <c r="Y1706" s="57"/>
      <c r="Z1706" s="57"/>
      <c r="AA1706" s="57"/>
      <c r="AB1706" s="57"/>
      <c r="AC1706" s="57"/>
      <c r="AD1706" s="57"/>
      <c r="AE1706" s="57"/>
      <c r="AF1706" s="57"/>
    </row>
    <row r="1707" spans="1:32" x14ac:dyDescent="0.2">
      <c r="A1707" s="57"/>
      <c r="B1707" s="57"/>
      <c r="C1707" s="57"/>
      <c r="D1707" s="57"/>
      <c r="E1707" s="57"/>
      <c r="F1707" s="985"/>
      <c r="G1707" s="57"/>
      <c r="H1707" s="57"/>
      <c r="I1707" s="990"/>
      <c r="J1707" s="57"/>
      <c r="K1707" s="57"/>
      <c r="L1707" s="57"/>
      <c r="M1707" s="57"/>
      <c r="N1707" s="57"/>
      <c r="O1707" s="57"/>
      <c r="P1707" s="57"/>
      <c r="Q1707" s="57"/>
      <c r="R1707" s="57"/>
      <c r="S1707" s="57"/>
      <c r="T1707" s="57"/>
      <c r="U1707" s="57"/>
      <c r="V1707" s="57"/>
      <c r="W1707" s="57"/>
      <c r="X1707" s="57"/>
      <c r="Y1707" s="57"/>
      <c r="Z1707" s="57"/>
      <c r="AA1707" s="57"/>
      <c r="AB1707" s="57"/>
      <c r="AC1707" s="57"/>
      <c r="AD1707" s="57"/>
      <c r="AE1707" s="57"/>
      <c r="AF1707" s="57"/>
    </row>
    <row r="1708" spans="1:32" x14ac:dyDescent="0.2">
      <c r="A1708" s="57"/>
      <c r="B1708" s="57"/>
      <c r="C1708" s="57"/>
      <c r="D1708" s="57"/>
      <c r="E1708" s="57"/>
      <c r="F1708" s="985"/>
      <c r="G1708" s="57"/>
      <c r="H1708" s="57"/>
      <c r="I1708" s="990"/>
      <c r="J1708" s="57"/>
      <c r="K1708" s="57"/>
      <c r="L1708" s="57"/>
      <c r="M1708" s="57"/>
      <c r="N1708" s="57"/>
      <c r="O1708" s="57"/>
      <c r="P1708" s="57"/>
      <c r="Q1708" s="57"/>
      <c r="R1708" s="57"/>
      <c r="S1708" s="57"/>
      <c r="T1708" s="57"/>
      <c r="U1708" s="57"/>
      <c r="V1708" s="57"/>
      <c r="W1708" s="57"/>
      <c r="X1708" s="57"/>
      <c r="Y1708" s="57"/>
      <c r="Z1708" s="57"/>
      <c r="AA1708" s="57"/>
      <c r="AB1708" s="57"/>
      <c r="AC1708" s="57"/>
      <c r="AD1708" s="57"/>
      <c r="AE1708" s="57"/>
      <c r="AF1708" s="57"/>
    </row>
    <row r="1709" spans="1:32" x14ac:dyDescent="0.2">
      <c r="A1709" s="57"/>
      <c r="B1709" s="57"/>
      <c r="C1709" s="57"/>
      <c r="D1709" s="57"/>
      <c r="E1709" s="57"/>
      <c r="F1709" s="985"/>
      <c r="G1709" s="57"/>
      <c r="H1709" s="57"/>
      <c r="I1709" s="990"/>
      <c r="J1709" s="57"/>
      <c r="K1709" s="57"/>
      <c r="L1709" s="57"/>
      <c r="M1709" s="57"/>
      <c r="N1709" s="57"/>
      <c r="O1709" s="57"/>
      <c r="P1709" s="57"/>
      <c r="Q1709" s="57"/>
      <c r="R1709" s="57"/>
      <c r="S1709" s="57"/>
      <c r="T1709" s="57"/>
      <c r="U1709" s="57"/>
      <c r="V1709" s="57"/>
      <c r="W1709" s="57"/>
      <c r="X1709" s="57"/>
      <c r="Y1709" s="57"/>
      <c r="Z1709" s="57"/>
      <c r="AA1709" s="57"/>
      <c r="AB1709" s="57"/>
      <c r="AC1709" s="57"/>
      <c r="AD1709" s="57"/>
      <c r="AE1709" s="57"/>
      <c r="AF1709" s="57"/>
    </row>
    <row r="1710" spans="1:32" x14ac:dyDescent="0.2">
      <c r="A1710" s="57"/>
      <c r="B1710" s="57"/>
      <c r="C1710" s="57"/>
      <c r="D1710" s="57"/>
      <c r="E1710" s="57"/>
      <c r="F1710" s="985"/>
      <c r="G1710" s="57"/>
      <c r="H1710" s="57"/>
      <c r="I1710" s="990"/>
      <c r="J1710" s="57"/>
      <c r="K1710" s="57"/>
      <c r="L1710" s="57"/>
      <c r="M1710" s="57"/>
      <c r="N1710" s="57"/>
      <c r="O1710" s="57"/>
      <c r="P1710" s="57"/>
      <c r="Q1710" s="57"/>
      <c r="R1710" s="57"/>
      <c r="S1710" s="57"/>
      <c r="T1710" s="57"/>
      <c r="U1710" s="57"/>
      <c r="V1710" s="57"/>
      <c r="W1710" s="57"/>
      <c r="X1710" s="57"/>
      <c r="Y1710" s="57"/>
      <c r="Z1710" s="57"/>
      <c r="AA1710" s="57"/>
      <c r="AB1710" s="57"/>
      <c r="AC1710" s="57"/>
      <c r="AD1710" s="57"/>
      <c r="AE1710" s="57"/>
      <c r="AF1710" s="57"/>
    </row>
    <row r="1711" spans="1:32" x14ac:dyDescent="0.2">
      <c r="A1711" s="57"/>
      <c r="B1711" s="57"/>
      <c r="C1711" s="57"/>
      <c r="D1711" s="57"/>
      <c r="E1711" s="57"/>
      <c r="F1711" s="985"/>
      <c r="G1711" s="57"/>
      <c r="H1711" s="57"/>
      <c r="I1711" s="990"/>
      <c r="J1711" s="57"/>
      <c r="K1711" s="57"/>
      <c r="L1711" s="57"/>
      <c r="M1711" s="57"/>
      <c r="N1711" s="57"/>
      <c r="O1711" s="57"/>
      <c r="P1711" s="57"/>
      <c r="Q1711" s="57"/>
      <c r="R1711" s="57"/>
      <c r="S1711" s="57"/>
      <c r="T1711" s="57"/>
      <c r="U1711" s="57"/>
      <c r="V1711" s="57"/>
      <c r="W1711" s="57"/>
      <c r="X1711" s="57"/>
      <c r="Y1711" s="57"/>
      <c r="Z1711" s="57"/>
      <c r="AA1711" s="57"/>
      <c r="AB1711" s="57"/>
      <c r="AC1711" s="57"/>
      <c r="AD1711" s="57"/>
      <c r="AE1711" s="57"/>
      <c r="AF1711" s="57"/>
    </row>
    <row r="1712" spans="1:32" x14ac:dyDescent="0.2">
      <c r="A1712" s="57"/>
      <c r="B1712" s="57"/>
      <c r="C1712" s="57"/>
      <c r="D1712" s="57"/>
      <c r="E1712" s="57"/>
      <c r="F1712" s="985"/>
      <c r="G1712" s="57"/>
      <c r="H1712" s="57"/>
      <c r="I1712" s="990"/>
      <c r="J1712" s="57"/>
      <c r="K1712" s="57"/>
      <c r="L1712" s="57"/>
      <c r="M1712" s="57"/>
      <c r="N1712" s="57"/>
      <c r="O1712" s="57"/>
      <c r="P1712" s="57"/>
      <c r="Q1712" s="57"/>
      <c r="R1712" s="57"/>
      <c r="S1712" s="57"/>
      <c r="T1712" s="57"/>
      <c r="U1712" s="57"/>
      <c r="V1712" s="57"/>
      <c r="W1712" s="57"/>
      <c r="X1712" s="57"/>
      <c r="Y1712" s="57"/>
      <c r="Z1712" s="57"/>
      <c r="AA1712" s="57"/>
      <c r="AB1712" s="57"/>
      <c r="AC1712" s="57"/>
      <c r="AD1712" s="57"/>
      <c r="AE1712" s="57"/>
      <c r="AF1712" s="57"/>
    </row>
    <row r="1713" spans="1:32" x14ac:dyDescent="0.2">
      <c r="A1713" s="57"/>
      <c r="B1713" s="57"/>
      <c r="C1713" s="57"/>
      <c r="D1713" s="57"/>
      <c r="E1713" s="57"/>
      <c r="F1713" s="985"/>
      <c r="G1713" s="57"/>
      <c r="H1713" s="57"/>
      <c r="I1713" s="990"/>
      <c r="J1713" s="57"/>
      <c r="K1713" s="57"/>
      <c r="L1713" s="57"/>
      <c r="M1713" s="57"/>
      <c r="N1713" s="57"/>
      <c r="O1713" s="57"/>
      <c r="P1713" s="57"/>
      <c r="Q1713" s="57"/>
      <c r="R1713" s="57"/>
      <c r="S1713" s="57"/>
      <c r="T1713" s="57"/>
      <c r="U1713" s="57"/>
      <c r="V1713" s="57"/>
      <c r="W1713" s="57"/>
      <c r="X1713" s="57"/>
      <c r="Y1713" s="57"/>
      <c r="Z1713" s="57"/>
      <c r="AA1713" s="57"/>
      <c r="AB1713" s="57"/>
      <c r="AC1713" s="57"/>
      <c r="AD1713" s="57"/>
      <c r="AE1713" s="57"/>
      <c r="AF1713" s="57"/>
    </row>
    <row r="1714" spans="1:32" x14ac:dyDescent="0.2">
      <c r="A1714" s="57"/>
      <c r="B1714" s="57"/>
      <c r="C1714" s="57"/>
      <c r="D1714" s="57"/>
      <c r="E1714" s="57"/>
      <c r="F1714" s="985"/>
      <c r="G1714" s="57"/>
      <c r="H1714" s="57"/>
      <c r="I1714" s="990"/>
      <c r="J1714" s="57"/>
      <c r="K1714" s="57"/>
      <c r="L1714" s="57"/>
      <c r="M1714" s="57"/>
      <c r="N1714" s="57"/>
      <c r="O1714" s="57"/>
      <c r="P1714" s="57"/>
      <c r="Q1714" s="57"/>
      <c r="R1714" s="57"/>
      <c r="S1714" s="57"/>
      <c r="T1714" s="57"/>
      <c r="U1714" s="57"/>
      <c r="V1714" s="57"/>
      <c r="W1714" s="57"/>
      <c r="X1714" s="57"/>
      <c r="Y1714" s="57"/>
      <c r="Z1714" s="57"/>
      <c r="AA1714" s="57"/>
      <c r="AB1714" s="57"/>
      <c r="AC1714" s="57"/>
      <c r="AD1714" s="57"/>
      <c r="AE1714" s="57"/>
      <c r="AF1714" s="57"/>
    </row>
    <row r="1715" spans="1:32" x14ac:dyDescent="0.2">
      <c r="A1715" s="57"/>
      <c r="B1715" s="57"/>
      <c r="C1715" s="57"/>
      <c r="D1715" s="57"/>
      <c r="E1715" s="57"/>
      <c r="F1715" s="985"/>
      <c r="G1715" s="57"/>
      <c r="H1715" s="57"/>
      <c r="I1715" s="990"/>
      <c r="J1715" s="57"/>
      <c r="K1715" s="57"/>
      <c r="L1715" s="57"/>
      <c r="M1715" s="57"/>
      <c r="N1715" s="57"/>
      <c r="O1715" s="57"/>
      <c r="P1715" s="57"/>
      <c r="Q1715" s="57"/>
      <c r="R1715" s="57"/>
      <c r="S1715" s="57"/>
      <c r="T1715" s="57"/>
      <c r="U1715" s="57"/>
      <c r="V1715" s="57"/>
      <c r="W1715" s="57"/>
      <c r="X1715" s="57"/>
      <c r="Y1715" s="57"/>
      <c r="Z1715" s="57"/>
      <c r="AA1715" s="57"/>
      <c r="AB1715" s="57"/>
      <c r="AC1715" s="57"/>
      <c r="AD1715" s="57"/>
      <c r="AE1715" s="57"/>
      <c r="AF1715" s="57"/>
    </row>
    <row r="1716" spans="1:32" x14ac:dyDescent="0.2">
      <c r="A1716" s="57"/>
      <c r="B1716" s="57"/>
      <c r="C1716" s="57"/>
      <c r="D1716" s="57"/>
      <c r="E1716" s="57"/>
      <c r="F1716" s="985"/>
      <c r="G1716" s="57"/>
      <c r="H1716" s="57"/>
      <c r="I1716" s="990"/>
      <c r="J1716" s="57"/>
      <c r="K1716" s="57"/>
      <c r="L1716" s="57"/>
      <c r="M1716" s="57"/>
      <c r="N1716" s="57"/>
      <c r="O1716" s="57"/>
      <c r="P1716" s="57"/>
      <c r="Q1716" s="57"/>
      <c r="R1716" s="57"/>
      <c r="S1716" s="57"/>
      <c r="T1716" s="57"/>
      <c r="U1716" s="57"/>
      <c r="V1716" s="57"/>
      <c r="W1716" s="57"/>
      <c r="X1716" s="57"/>
      <c r="Y1716" s="57"/>
      <c r="Z1716" s="57"/>
      <c r="AA1716" s="57"/>
      <c r="AB1716" s="57"/>
      <c r="AC1716" s="57"/>
      <c r="AD1716" s="57"/>
      <c r="AE1716" s="57"/>
      <c r="AF1716" s="57"/>
    </row>
    <row r="1717" spans="1:32" x14ac:dyDescent="0.2">
      <c r="A1717" s="57"/>
      <c r="B1717" s="57"/>
      <c r="C1717" s="57"/>
      <c r="D1717" s="57"/>
      <c r="E1717" s="57"/>
      <c r="F1717" s="985"/>
      <c r="G1717" s="57"/>
      <c r="H1717" s="57"/>
      <c r="I1717" s="990"/>
      <c r="J1717" s="57"/>
      <c r="K1717" s="57"/>
      <c r="L1717" s="57"/>
      <c r="M1717" s="57"/>
      <c r="N1717" s="57"/>
      <c r="O1717" s="57"/>
      <c r="P1717" s="57"/>
      <c r="Q1717" s="57"/>
      <c r="R1717" s="57"/>
      <c r="S1717" s="57"/>
      <c r="T1717" s="57"/>
      <c r="U1717" s="57"/>
      <c r="V1717" s="57"/>
      <c r="W1717" s="57"/>
      <c r="X1717" s="57"/>
      <c r="Y1717" s="57"/>
      <c r="Z1717" s="57"/>
      <c r="AA1717" s="57"/>
      <c r="AB1717" s="57"/>
      <c r="AC1717" s="57"/>
      <c r="AD1717" s="57"/>
      <c r="AE1717" s="57"/>
      <c r="AF1717" s="57"/>
    </row>
    <row r="1718" spans="1:32" x14ac:dyDescent="0.2">
      <c r="A1718" s="57"/>
      <c r="B1718" s="57"/>
      <c r="C1718" s="57"/>
      <c r="D1718" s="57"/>
      <c r="E1718" s="57"/>
      <c r="F1718" s="985"/>
      <c r="G1718" s="57"/>
      <c r="H1718" s="57"/>
      <c r="I1718" s="990"/>
      <c r="J1718" s="57"/>
      <c r="K1718" s="57"/>
      <c r="L1718" s="57"/>
      <c r="M1718" s="57"/>
      <c r="N1718" s="57"/>
      <c r="O1718" s="57"/>
      <c r="P1718" s="57"/>
      <c r="Q1718" s="57"/>
      <c r="R1718" s="57"/>
      <c r="S1718" s="57"/>
      <c r="T1718" s="57"/>
      <c r="U1718" s="57"/>
      <c r="V1718" s="57"/>
      <c r="W1718" s="57"/>
      <c r="X1718" s="57"/>
      <c r="Y1718" s="57"/>
      <c r="Z1718" s="57"/>
      <c r="AA1718" s="57"/>
      <c r="AB1718" s="57"/>
      <c r="AC1718" s="57"/>
      <c r="AD1718" s="57"/>
      <c r="AE1718" s="57"/>
      <c r="AF1718" s="57"/>
    </row>
    <row r="1719" spans="1:32" x14ac:dyDescent="0.2">
      <c r="A1719" s="57"/>
      <c r="B1719" s="57"/>
      <c r="C1719" s="57"/>
      <c r="D1719" s="57"/>
      <c r="E1719" s="57"/>
      <c r="F1719" s="985"/>
      <c r="G1719" s="57"/>
      <c r="H1719" s="57"/>
      <c r="I1719" s="990"/>
      <c r="J1719" s="57"/>
      <c r="K1719" s="57"/>
      <c r="L1719" s="57"/>
      <c r="M1719" s="57"/>
      <c r="N1719" s="57"/>
      <c r="O1719" s="57"/>
      <c r="P1719" s="57"/>
      <c r="Q1719" s="57"/>
      <c r="R1719" s="57"/>
      <c r="S1719" s="57"/>
      <c r="T1719" s="57"/>
      <c r="U1719" s="57"/>
      <c r="V1719" s="57"/>
      <c r="W1719" s="57"/>
      <c r="X1719" s="57"/>
      <c r="Y1719" s="57"/>
      <c r="Z1719" s="57"/>
      <c r="AA1719" s="57"/>
      <c r="AB1719" s="57"/>
      <c r="AC1719" s="57"/>
      <c r="AD1719" s="57"/>
      <c r="AE1719" s="57"/>
      <c r="AF1719" s="57"/>
    </row>
    <row r="1720" spans="1:32" x14ac:dyDescent="0.2">
      <c r="A1720" s="57"/>
      <c r="B1720" s="57"/>
      <c r="C1720" s="57"/>
      <c r="D1720" s="57"/>
      <c r="E1720" s="57"/>
      <c r="F1720" s="985"/>
      <c r="G1720" s="57"/>
      <c r="H1720" s="57"/>
      <c r="I1720" s="990"/>
      <c r="J1720" s="57"/>
      <c r="K1720" s="57"/>
      <c r="L1720" s="57"/>
      <c r="M1720" s="57"/>
      <c r="N1720" s="57"/>
      <c r="O1720" s="57"/>
      <c r="P1720" s="57"/>
      <c r="Q1720" s="57"/>
      <c r="R1720" s="57"/>
      <c r="S1720" s="57"/>
      <c r="T1720" s="57"/>
      <c r="U1720" s="57"/>
      <c r="V1720" s="57"/>
      <c r="W1720" s="57"/>
      <c r="X1720" s="57"/>
      <c r="Y1720" s="57"/>
      <c r="Z1720" s="57"/>
      <c r="AA1720" s="57"/>
      <c r="AB1720" s="57"/>
      <c r="AC1720" s="57"/>
      <c r="AD1720" s="57"/>
      <c r="AE1720" s="57"/>
      <c r="AF1720" s="57"/>
    </row>
    <row r="1721" spans="1:32" x14ac:dyDescent="0.2">
      <c r="A1721" s="57"/>
      <c r="B1721" s="57"/>
      <c r="C1721" s="57"/>
      <c r="D1721" s="57"/>
      <c r="E1721" s="57"/>
      <c r="F1721" s="985"/>
      <c r="G1721" s="57"/>
      <c r="H1721" s="57"/>
      <c r="I1721" s="990"/>
      <c r="J1721" s="57"/>
      <c r="K1721" s="57"/>
      <c r="L1721" s="57"/>
      <c r="M1721" s="57"/>
      <c r="N1721" s="57"/>
      <c r="O1721" s="57"/>
      <c r="P1721" s="57"/>
      <c r="Q1721" s="57"/>
      <c r="R1721" s="57"/>
      <c r="S1721" s="57"/>
      <c r="T1721" s="57"/>
      <c r="U1721" s="57"/>
      <c r="V1721" s="57"/>
      <c r="W1721" s="57"/>
      <c r="X1721" s="57"/>
      <c r="Y1721" s="57"/>
      <c r="Z1721" s="57"/>
      <c r="AA1721" s="57"/>
      <c r="AB1721" s="57"/>
      <c r="AC1721" s="57"/>
      <c r="AD1721" s="57"/>
      <c r="AE1721" s="57"/>
      <c r="AF1721" s="57"/>
    </row>
    <row r="1722" spans="1:32" x14ac:dyDescent="0.2">
      <c r="A1722" s="57"/>
      <c r="B1722" s="57"/>
      <c r="C1722" s="57"/>
      <c r="D1722" s="57"/>
      <c r="E1722" s="57"/>
      <c r="F1722" s="985"/>
      <c r="G1722" s="57"/>
      <c r="H1722" s="57"/>
      <c r="I1722" s="990"/>
      <c r="J1722" s="57"/>
      <c r="K1722" s="57"/>
      <c r="L1722" s="57"/>
      <c r="M1722" s="57"/>
      <c r="N1722" s="57"/>
      <c r="O1722" s="57"/>
      <c r="P1722" s="57"/>
      <c r="Q1722" s="57"/>
      <c r="R1722" s="57"/>
      <c r="S1722" s="57"/>
      <c r="T1722" s="57"/>
      <c r="U1722" s="57"/>
      <c r="V1722" s="57"/>
      <c r="W1722" s="57"/>
      <c r="X1722" s="57"/>
      <c r="Y1722" s="57"/>
      <c r="Z1722" s="57"/>
      <c r="AA1722" s="57"/>
      <c r="AB1722" s="57"/>
      <c r="AC1722" s="57"/>
      <c r="AD1722" s="57"/>
      <c r="AE1722" s="57"/>
      <c r="AF1722" s="57"/>
    </row>
    <row r="1723" spans="1:32" x14ac:dyDescent="0.2">
      <c r="A1723" s="57"/>
      <c r="B1723" s="57"/>
      <c r="C1723" s="57"/>
      <c r="D1723" s="57"/>
      <c r="E1723" s="57"/>
      <c r="F1723" s="985"/>
      <c r="G1723" s="57"/>
      <c r="H1723" s="57"/>
      <c r="I1723" s="990"/>
      <c r="J1723" s="57"/>
      <c r="K1723" s="57"/>
      <c r="L1723" s="57"/>
      <c r="M1723" s="57"/>
      <c r="N1723" s="57"/>
      <c r="O1723" s="57"/>
      <c r="P1723" s="57"/>
      <c r="Q1723" s="57"/>
      <c r="R1723" s="57"/>
      <c r="S1723" s="57"/>
      <c r="T1723" s="57"/>
      <c r="U1723" s="57"/>
      <c r="V1723" s="57"/>
      <c r="W1723" s="57"/>
      <c r="X1723" s="57"/>
      <c r="Y1723" s="57"/>
      <c r="Z1723" s="57"/>
      <c r="AA1723" s="57"/>
      <c r="AB1723" s="57"/>
      <c r="AC1723" s="57"/>
      <c r="AD1723" s="57"/>
      <c r="AE1723" s="57"/>
      <c r="AF1723" s="57"/>
    </row>
    <row r="1724" spans="1:32" x14ac:dyDescent="0.2">
      <c r="A1724" s="57"/>
      <c r="B1724" s="57"/>
      <c r="C1724" s="57"/>
      <c r="D1724" s="57"/>
      <c r="E1724" s="57"/>
      <c r="F1724" s="985"/>
      <c r="G1724" s="57"/>
      <c r="H1724" s="57"/>
      <c r="I1724" s="990"/>
      <c r="J1724" s="57"/>
      <c r="K1724" s="57"/>
      <c r="L1724" s="57"/>
      <c r="M1724" s="57"/>
      <c r="N1724" s="57"/>
      <c r="O1724" s="57"/>
      <c r="P1724" s="57"/>
      <c r="Q1724" s="57"/>
      <c r="R1724" s="57"/>
      <c r="S1724" s="57"/>
      <c r="T1724" s="57"/>
      <c r="U1724" s="57"/>
      <c r="V1724" s="57"/>
      <c r="W1724" s="57"/>
      <c r="X1724" s="57"/>
      <c r="Y1724" s="57"/>
      <c r="Z1724" s="57"/>
      <c r="AA1724" s="57"/>
      <c r="AB1724" s="57"/>
      <c r="AC1724" s="57"/>
      <c r="AD1724" s="57"/>
      <c r="AE1724" s="57"/>
      <c r="AF1724" s="57"/>
    </row>
    <row r="1725" spans="1:32" x14ac:dyDescent="0.2">
      <c r="A1725" s="57"/>
      <c r="B1725" s="57"/>
      <c r="C1725" s="57"/>
      <c r="D1725" s="57"/>
      <c r="E1725" s="57"/>
      <c r="F1725" s="985"/>
      <c r="G1725" s="57"/>
      <c r="H1725" s="57"/>
      <c r="I1725" s="990"/>
      <c r="J1725" s="57"/>
      <c r="K1725" s="57"/>
      <c r="L1725" s="57"/>
      <c r="M1725" s="57"/>
      <c r="N1725" s="57"/>
      <c r="O1725" s="57"/>
      <c r="P1725" s="57"/>
      <c r="Q1725" s="57"/>
      <c r="R1725" s="57"/>
      <c r="S1725" s="57"/>
      <c r="T1725" s="57"/>
      <c r="U1725" s="57"/>
      <c r="V1725" s="57"/>
      <c r="W1725" s="57"/>
      <c r="X1725" s="57"/>
      <c r="Y1725" s="57"/>
      <c r="Z1725" s="57"/>
      <c r="AA1725" s="57"/>
      <c r="AB1725" s="57"/>
      <c r="AC1725" s="57"/>
      <c r="AD1725" s="57"/>
      <c r="AE1725" s="57"/>
      <c r="AF1725" s="57"/>
    </row>
    <row r="1726" spans="1:32" x14ac:dyDescent="0.2">
      <c r="A1726" s="57"/>
      <c r="B1726" s="57"/>
      <c r="C1726" s="57"/>
      <c r="D1726" s="57"/>
      <c r="E1726" s="57"/>
      <c r="F1726" s="985"/>
      <c r="G1726" s="57"/>
      <c r="H1726" s="57"/>
      <c r="I1726" s="990"/>
      <c r="J1726" s="57"/>
      <c r="K1726" s="57"/>
      <c r="L1726" s="57"/>
      <c r="M1726" s="57"/>
      <c r="N1726" s="57"/>
      <c r="O1726" s="57"/>
      <c r="P1726" s="57"/>
      <c r="Q1726" s="57"/>
      <c r="R1726" s="57"/>
      <c r="S1726" s="57"/>
      <c r="T1726" s="57"/>
      <c r="U1726" s="57"/>
      <c r="V1726" s="57"/>
      <c r="W1726" s="57"/>
      <c r="X1726" s="57"/>
      <c r="Y1726" s="57"/>
      <c r="Z1726" s="57"/>
      <c r="AA1726" s="57"/>
      <c r="AB1726" s="57"/>
      <c r="AC1726" s="57"/>
      <c r="AD1726" s="57"/>
      <c r="AE1726" s="57"/>
      <c r="AF1726" s="57"/>
    </row>
    <row r="1727" spans="1:32" x14ac:dyDescent="0.2">
      <c r="A1727" s="57"/>
      <c r="B1727" s="57"/>
      <c r="C1727" s="57"/>
      <c r="D1727" s="57"/>
      <c r="E1727" s="57"/>
      <c r="F1727" s="985"/>
      <c r="G1727" s="57"/>
      <c r="H1727" s="57"/>
      <c r="I1727" s="990"/>
      <c r="J1727" s="57"/>
      <c r="K1727" s="57"/>
      <c r="L1727" s="57"/>
      <c r="M1727" s="57"/>
      <c r="N1727" s="57"/>
      <c r="O1727" s="57"/>
      <c r="P1727" s="57"/>
      <c r="Q1727" s="57"/>
      <c r="R1727" s="57"/>
      <c r="S1727" s="57"/>
      <c r="T1727" s="57"/>
      <c r="U1727" s="57"/>
      <c r="V1727" s="57"/>
      <c r="W1727" s="57"/>
      <c r="X1727" s="57"/>
      <c r="Y1727" s="57"/>
      <c r="Z1727" s="57"/>
      <c r="AA1727" s="57"/>
      <c r="AB1727" s="57"/>
      <c r="AC1727" s="57"/>
      <c r="AD1727" s="57"/>
      <c r="AE1727" s="57"/>
      <c r="AF1727" s="57"/>
    </row>
    <row r="1728" spans="1:32" x14ac:dyDescent="0.2">
      <c r="A1728" s="57"/>
      <c r="B1728" s="57"/>
      <c r="C1728" s="57"/>
      <c r="D1728" s="57"/>
      <c r="E1728" s="57"/>
      <c r="F1728" s="985"/>
      <c r="G1728" s="57"/>
      <c r="H1728" s="57"/>
      <c r="I1728" s="990"/>
      <c r="J1728" s="57"/>
      <c r="K1728" s="57"/>
      <c r="L1728" s="57"/>
      <c r="M1728" s="57"/>
      <c r="N1728" s="57"/>
      <c r="O1728" s="57"/>
      <c r="P1728" s="57"/>
      <c r="Q1728" s="57"/>
      <c r="R1728" s="57"/>
      <c r="S1728" s="57"/>
      <c r="T1728" s="57"/>
      <c r="U1728" s="57"/>
      <c r="V1728" s="57"/>
      <c r="W1728" s="57"/>
      <c r="X1728" s="57"/>
      <c r="Y1728" s="57"/>
      <c r="Z1728" s="57"/>
      <c r="AA1728" s="57"/>
      <c r="AB1728" s="57"/>
      <c r="AC1728" s="57"/>
      <c r="AD1728" s="57"/>
      <c r="AE1728" s="57"/>
      <c r="AF1728" s="57"/>
    </row>
    <row r="1729" spans="1:32" x14ac:dyDescent="0.2">
      <c r="A1729" s="57"/>
      <c r="B1729" s="57"/>
      <c r="C1729" s="57"/>
      <c r="D1729" s="57"/>
      <c r="E1729" s="57"/>
      <c r="F1729" s="985"/>
      <c r="G1729" s="57"/>
      <c r="H1729" s="57"/>
      <c r="I1729" s="990"/>
      <c r="J1729" s="57"/>
      <c r="K1729" s="57"/>
      <c r="L1729" s="57"/>
      <c r="M1729" s="57"/>
      <c r="N1729" s="57"/>
      <c r="O1729" s="57"/>
      <c r="P1729" s="57"/>
      <c r="Q1729" s="57"/>
      <c r="R1729" s="57"/>
      <c r="S1729" s="57"/>
      <c r="T1729" s="57"/>
      <c r="U1729" s="57"/>
      <c r="V1729" s="57"/>
      <c r="W1729" s="57"/>
      <c r="X1729" s="57"/>
      <c r="Y1729" s="57"/>
      <c r="Z1729" s="57"/>
      <c r="AA1729" s="57"/>
      <c r="AB1729" s="57"/>
      <c r="AC1729" s="57"/>
      <c r="AD1729" s="57"/>
      <c r="AE1729" s="57"/>
      <c r="AF1729" s="57"/>
    </row>
    <row r="1730" spans="1:32" x14ac:dyDescent="0.2">
      <c r="A1730" s="57"/>
      <c r="B1730" s="57"/>
      <c r="C1730" s="57"/>
      <c r="D1730" s="57"/>
      <c r="E1730" s="57"/>
      <c r="F1730" s="985"/>
      <c r="G1730" s="57"/>
      <c r="H1730" s="57"/>
      <c r="I1730" s="990"/>
      <c r="J1730" s="57"/>
      <c r="K1730" s="57"/>
      <c r="L1730" s="57"/>
      <c r="M1730" s="57"/>
      <c r="N1730" s="57"/>
      <c r="O1730" s="57"/>
      <c r="P1730" s="57"/>
      <c r="Q1730" s="57"/>
      <c r="R1730" s="57"/>
      <c r="S1730" s="57"/>
      <c r="T1730" s="57"/>
      <c r="U1730" s="57"/>
      <c r="V1730" s="57"/>
      <c r="W1730" s="57"/>
      <c r="X1730" s="57"/>
      <c r="Y1730" s="57"/>
      <c r="Z1730" s="57"/>
      <c r="AA1730" s="57"/>
      <c r="AB1730" s="57"/>
      <c r="AC1730" s="57"/>
      <c r="AD1730" s="57"/>
      <c r="AE1730" s="57"/>
      <c r="AF1730" s="57"/>
    </row>
    <row r="1731" spans="1:32" x14ac:dyDescent="0.2">
      <c r="A1731" s="57"/>
      <c r="B1731" s="57"/>
      <c r="C1731" s="57"/>
      <c r="D1731" s="57"/>
      <c r="E1731" s="57"/>
      <c r="F1731" s="985"/>
      <c r="G1731" s="57"/>
      <c r="H1731" s="57"/>
      <c r="I1731" s="990"/>
      <c r="J1731" s="57"/>
      <c r="K1731" s="57"/>
      <c r="L1731" s="57"/>
      <c r="M1731" s="57"/>
      <c r="N1731" s="57"/>
      <c r="O1731" s="57"/>
      <c r="P1731" s="57"/>
      <c r="Q1731" s="57"/>
      <c r="R1731" s="57"/>
      <c r="S1731" s="57"/>
      <c r="T1731" s="57"/>
      <c r="U1731" s="57"/>
      <c r="V1731" s="57"/>
      <c r="W1731" s="57"/>
      <c r="X1731" s="57"/>
      <c r="Y1731" s="57"/>
      <c r="Z1731" s="57"/>
      <c r="AA1731" s="57"/>
      <c r="AB1731" s="57"/>
      <c r="AC1731" s="57"/>
      <c r="AD1731" s="57"/>
      <c r="AE1731" s="57"/>
      <c r="AF1731" s="57"/>
    </row>
    <row r="1732" spans="1:32" x14ac:dyDescent="0.2">
      <c r="A1732" s="57"/>
      <c r="B1732" s="57"/>
      <c r="C1732" s="57"/>
      <c r="D1732" s="57"/>
      <c r="E1732" s="57"/>
      <c r="F1732" s="985"/>
      <c r="G1732" s="57"/>
      <c r="H1732" s="57"/>
      <c r="I1732" s="990"/>
      <c r="J1732" s="57"/>
      <c r="K1732" s="57"/>
      <c r="L1732" s="57"/>
      <c r="M1732" s="57"/>
      <c r="N1732" s="57"/>
      <c r="O1732" s="57"/>
      <c r="P1732" s="57"/>
      <c r="Q1732" s="57"/>
      <c r="R1732" s="57"/>
      <c r="S1732" s="57"/>
      <c r="T1732" s="57"/>
      <c r="U1732" s="57"/>
      <c r="V1732" s="57"/>
      <c r="W1732" s="57"/>
      <c r="X1732" s="57"/>
      <c r="Y1732" s="57"/>
      <c r="Z1732" s="57"/>
      <c r="AA1732" s="57"/>
      <c r="AB1732" s="57"/>
      <c r="AC1732" s="57"/>
      <c r="AD1732" s="57"/>
      <c r="AE1732" s="57"/>
      <c r="AF1732" s="57"/>
    </row>
    <row r="1733" spans="1:32" x14ac:dyDescent="0.2">
      <c r="A1733" s="57"/>
      <c r="B1733" s="57"/>
      <c r="C1733" s="57"/>
      <c r="D1733" s="57"/>
      <c r="E1733" s="57"/>
      <c r="F1733" s="985"/>
      <c r="G1733" s="57"/>
      <c r="H1733" s="57"/>
      <c r="I1733" s="990"/>
      <c r="J1733" s="57"/>
      <c r="K1733" s="57"/>
      <c r="L1733" s="57"/>
      <c r="M1733" s="57"/>
      <c r="N1733" s="57"/>
      <c r="O1733" s="57"/>
      <c r="P1733" s="57"/>
      <c r="Q1733" s="57"/>
      <c r="R1733" s="57"/>
      <c r="S1733" s="57"/>
      <c r="T1733" s="57"/>
      <c r="U1733" s="57"/>
      <c r="V1733" s="57"/>
      <c r="W1733" s="57"/>
      <c r="X1733" s="57"/>
      <c r="Y1733" s="57"/>
      <c r="Z1733" s="57"/>
      <c r="AA1733" s="57"/>
      <c r="AB1733" s="57"/>
      <c r="AC1733" s="57"/>
      <c r="AD1733" s="57"/>
      <c r="AE1733" s="57"/>
      <c r="AF1733" s="57"/>
    </row>
    <row r="1734" spans="1:32" x14ac:dyDescent="0.2">
      <c r="A1734" s="57"/>
      <c r="B1734" s="57"/>
      <c r="C1734" s="57"/>
      <c r="D1734" s="57"/>
      <c r="E1734" s="57"/>
      <c r="F1734" s="985"/>
      <c r="G1734" s="57"/>
      <c r="H1734" s="57"/>
      <c r="I1734" s="990"/>
      <c r="J1734" s="57"/>
      <c r="K1734" s="57"/>
      <c r="L1734" s="57"/>
      <c r="M1734" s="57"/>
      <c r="N1734" s="57"/>
      <c r="O1734" s="57"/>
      <c r="P1734" s="57"/>
      <c r="Q1734" s="57"/>
      <c r="R1734" s="57"/>
      <c r="S1734" s="57"/>
      <c r="T1734" s="57"/>
      <c r="U1734" s="57"/>
      <c r="V1734" s="57"/>
      <c r="W1734" s="57"/>
      <c r="X1734" s="57"/>
      <c r="Y1734" s="57"/>
      <c r="Z1734" s="57"/>
      <c r="AA1734" s="57"/>
      <c r="AB1734" s="57"/>
      <c r="AC1734" s="57"/>
      <c r="AD1734" s="57"/>
      <c r="AE1734" s="57"/>
      <c r="AF1734" s="57"/>
    </row>
    <row r="1735" spans="1:32" x14ac:dyDescent="0.2">
      <c r="A1735" s="57"/>
      <c r="B1735" s="57"/>
      <c r="C1735" s="57"/>
      <c r="D1735" s="57"/>
      <c r="E1735" s="57"/>
      <c r="F1735" s="985"/>
      <c r="G1735" s="57"/>
      <c r="H1735" s="57"/>
      <c r="I1735" s="990"/>
      <c r="J1735" s="57"/>
      <c r="K1735" s="57"/>
      <c r="L1735" s="57"/>
      <c r="M1735" s="57"/>
      <c r="N1735" s="57"/>
      <c r="O1735" s="57"/>
      <c r="P1735" s="57"/>
      <c r="Q1735" s="57"/>
      <c r="R1735" s="57"/>
      <c r="S1735" s="57"/>
      <c r="T1735" s="57"/>
      <c r="U1735" s="57"/>
      <c r="V1735" s="57"/>
      <c r="W1735" s="57"/>
      <c r="X1735" s="57"/>
      <c r="Y1735" s="57"/>
      <c r="Z1735" s="57"/>
      <c r="AA1735" s="57"/>
      <c r="AB1735" s="57"/>
      <c r="AC1735" s="57"/>
      <c r="AD1735" s="57"/>
      <c r="AE1735" s="57"/>
      <c r="AF1735" s="57"/>
    </row>
    <row r="1736" spans="1:32" x14ac:dyDescent="0.2">
      <c r="A1736" s="57"/>
      <c r="B1736" s="57"/>
      <c r="C1736" s="57"/>
      <c r="D1736" s="57"/>
      <c r="E1736" s="57"/>
      <c r="F1736" s="985"/>
      <c r="G1736" s="57"/>
      <c r="H1736" s="57"/>
      <c r="I1736" s="990"/>
      <c r="J1736" s="57"/>
      <c r="K1736" s="57"/>
      <c r="L1736" s="57"/>
      <c r="M1736" s="57"/>
      <c r="N1736" s="57"/>
      <c r="O1736" s="57"/>
      <c r="P1736" s="57"/>
      <c r="Q1736" s="57"/>
      <c r="R1736" s="57"/>
      <c r="S1736" s="57"/>
      <c r="T1736" s="57"/>
      <c r="U1736" s="57"/>
      <c r="V1736" s="57"/>
      <c r="W1736" s="57"/>
      <c r="X1736" s="57"/>
      <c r="Y1736" s="57"/>
      <c r="Z1736" s="57"/>
      <c r="AA1736" s="57"/>
      <c r="AB1736" s="57"/>
      <c r="AC1736" s="57"/>
      <c r="AD1736" s="57"/>
      <c r="AE1736" s="57"/>
      <c r="AF1736" s="57"/>
    </row>
    <row r="1737" spans="1:32" x14ac:dyDescent="0.2">
      <c r="A1737" s="57"/>
      <c r="B1737" s="57"/>
      <c r="C1737" s="57"/>
      <c r="D1737" s="57"/>
      <c r="E1737" s="57"/>
      <c r="F1737" s="985"/>
      <c r="G1737" s="57"/>
      <c r="H1737" s="57"/>
      <c r="I1737" s="990"/>
      <c r="J1737" s="57"/>
      <c r="K1737" s="57"/>
      <c r="L1737" s="57"/>
      <c r="M1737" s="57"/>
      <c r="N1737" s="57"/>
      <c r="O1737" s="57"/>
      <c r="P1737" s="57"/>
      <c r="Q1737" s="57"/>
      <c r="R1737" s="57"/>
      <c r="S1737" s="57"/>
      <c r="T1737" s="57"/>
      <c r="U1737" s="57"/>
      <c r="V1737" s="57"/>
      <c r="W1737" s="57"/>
      <c r="X1737" s="57"/>
      <c r="Y1737" s="57"/>
      <c r="Z1737" s="57"/>
      <c r="AA1737" s="57"/>
      <c r="AB1737" s="57"/>
      <c r="AC1737" s="57"/>
      <c r="AD1737" s="57"/>
      <c r="AE1737" s="57"/>
      <c r="AF1737" s="57"/>
    </row>
    <row r="1738" spans="1:32" x14ac:dyDescent="0.2">
      <c r="A1738" s="57"/>
      <c r="B1738" s="57"/>
      <c r="C1738" s="57"/>
      <c r="D1738" s="57"/>
      <c r="E1738" s="57"/>
      <c r="F1738" s="985"/>
      <c r="G1738" s="57"/>
      <c r="H1738" s="57"/>
      <c r="I1738" s="990"/>
      <c r="J1738" s="57"/>
      <c r="K1738" s="57"/>
      <c r="L1738" s="57"/>
      <c r="M1738" s="57"/>
      <c r="N1738" s="57"/>
      <c r="O1738" s="57"/>
      <c r="P1738" s="57"/>
      <c r="Q1738" s="57"/>
      <c r="R1738" s="57"/>
      <c r="S1738" s="57"/>
      <c r="T1738" s="57"/>
      <c r="U1738" s="57"/>
      <c r="V1738" s="57"/>
      <c r="W1738" s="57"/>
      <c r="X1738" s="57"/>
      <c r="Y1738" s="57"/>
      <c r="Z1738" s="57"/>
      <c r="AA1738" s="57"/>
      <c r="AB1738" s="57"/>
      <c r="AC1738" s="57"/>
      <c r="AD1738" s="57"/>
      <c r="AE1738" s="57"/>
      <c r="AF1738" s="57"/>
    </row>
    <row r="1739" spans="1:32" x14ac:dyDescent="0.2">
      <c r="A1739" s="57"/>
      <c r="B1739" s="57"/>
      <c r="C1739" s="57"/>
      <c r="D1739" s="57"/>
      <c r="E1739" s="57"/>
      <c r="F1739" s="985"/>
      <c r="G1739" s="57"/>
      <c r="H1739" s="57"/>
      <c r="I1739" s="990"/>
      <c r="J1739" s="57"/>
      <c r="K1739" s="57"/>
      <c r="L1739" s="57"/>
      <c r="M1739" s="57"/>
      <c r="N1739" s="57"/>
      <c r="O1739" s="57"/>
      <c r="P1739" s="57"/>
      <c r="Q1739" s="57"/>
      <c r="R1739" s="57"/>
      <c r="S1739" s="57"/>
      <c r="T1739" s="57"/>
      <c r="U1739" s="57"/>
      <c r="V1739" s="57"/>
      <c r="W1739" s="57"/>
      <c r="X1739" s="57"/>
      <c r="Y1739" s="57"/>
      <c r="Z1739" s="57"/>
      <c r="AA1739" s="57"/>
      <c r="AB1739" s="57"/>
      <c r="AC1739" s="57"/>
      <c r="AD1739" s="57"/>
      <c r="AE1739" s="57"/>
      <c r="AF1739" s="57"/>
    </row>
    <row r="1740" spans="1:32" x14ac:dyDescent="0.2">
      <c r="A1740" s="57"/>
      <c r="B1740" s="57"/>
      <c r="C1740" s="57"/>
      <c r="D1740" s="57"/>
      <c r="E1740" s="57"/>
      <c r="F1740" s="985"/>
      <c r="G1740" s="57"/>
      <c r="H1740" s="57"/>
      <c r="I1740" s="990"/>
      <c r="J1740" s="57"/>
      <c r="K1740" s="57"/>
      <c r="L1740" s="57"/>
      <c r="M1740" s="57"/>
      <c r="N1740" s="57"/>
      <c r="O1740" s="57"/>
      <c r="P1740" s="57"/>
      <c r="Q1740" s="57"/>
      <c r="R1740" s="57"/>
      <c r="S1740" s="57"/>
      <c r="T1740" s="57"/>
      <c r="U1740" s="57"/>
      <c r="V1740" s="57"/>
      <c r="W1740" s="57"/>
      <c r="X1740" s="57"/>
      <c r="Y1740" s="57"/>
      <c r="Z1740" s="57"/>
      <c r="AA1740" s="57"/>
      <c r="AB1740" s="57"/>
      <c r="AC1740" s="57"/>
      <c r="AD1740" s="57"/>
      <c r="AE1740" s="57"/>
      <c r="AF1740" s="57"/>
    </row>
    <row r="1741" spans="1:32" x14ac:dyDescent="0.2">
      <c r="A1741" s="57"/>
      <c r="B1741" s="57"/>
      <c r="C1741" s="57"/>
      <c r="D1741" s="57"/>
      <c r="E1741" s="57"/>
      <c r="F1741" s="985"/>
      <c r="G1741" s="57"/>
      <c r="H1741" s="57"/>
      <c r="I1741" s="990"/>
      <c r="J1741" s="57"/>
      <c r="K1741" s="57"/>
      <c r="L1741" s="57"/>
      <c r="M1741" s="57"/>
      <c r="N1741" s="57"/>
      <c r="O1741" s="57"/>
      <c r="P1741" s="57"/>
      <c r="Q1741" s="57"/>
      <c r="R1741" s="57"/>
      <c r="S1741" s="57"/>
      <c r="T1741" s="57"/>
      <c r="U1741" s="57"/>
      <c r="V1741" s="57"/>
      <c r="W1741" s="57"/>
      <c r="X1741" s="57"/>
      <c r="Y1741" s="57"/>
      <c r="Z1741" s="57"/>
      <c r="AA1741" s="57"/>
      <c r="AB1741" s="57"/>
      <c r="AC1741" s="57"/>
      <c r="AD1741" s="57"/>
      <c r="AE1741" s="57"/>
      <c r="AF1741" s="57"/>
    </row>
    <row r="1742" spans="1:32" x14ac:dyDescent="0.2">
      <c r="A1742" s="57"/>
      <c r="B1742" s="57"/>
      <c r="C1742" s="57"/>
      <c r="D1742" s="57"/>
      <c r="E1742" s="57"/>
      <c r="F1742" s="985"/>
      <c r="G1742" s="57"/>
      <c r="H1742" s="57"/>
      <c r="I1742" s="990"/>
      <c r="J1742" s="57"/>
      <c r="K1742" s="57"/>
      <c r="L1742" s="57"/>
      <c r="M1742" s="57"/>
      <c r="N1742" s="57"/>
      <c r="O1742" s="57"/>
      <c r="P1742" s="57"/>
      <c r="Q1742" s="57"/>
      <c r="R1742" s="57"/>
      <c r="S1742" s="57"/>
      <c r="T1742" s="57"/>
      <c r="U1742" s="57"/>
      <c r="V1742" s="57"/>
      <c r="W1742" s="57"/>
      <c r="X1742" s="57"/>
      <c r="Y1742" s="57"/>
      <c r="Z1742" s="57"/>
      <c r="AA1742" s="57"/>
      <c r="AB1742" s="57"/>
      <c r="AC1742" s="57"/>
      <c r="AD1742" s="57"/>
      <c r="AE1742" s="57"/>
      <c r="AF1742" s="57"/>
    </row>
    <row r="1743" spans="1:32" x14ac:dyDescent="0.2">
      <c r="A1743" s="57"/>
      <c r="B1743" s="57"/>
      <c r="C1743" s="57"/>
      <c r="D1743" s="57"/>
      <c r="E1743" s="57"/>
      <c r="F1743" s="985"/>
      <c r="G1743" s="57"/>
      <c r="H1743" s="57"/>
      <c r="I1743" s="990"/>
      <c r="J1743" s="57"/>
      <c r="K1743" s="57"/>
      <c r="L1743" s="57"/>
      <c r="M1743" s="57"/>
      <c r="N1743" s="57"/>
      <c r="O1743" s="57"/>
      <c r="P1743" s="57"/>
      <c r="Q1743" s="57"/>
      <c r="R1743" s="57"/>
      <c r="S1743" s="57"/>
      <c r="T1743" s="57"/>
      <c r="U1743" s="57"/>
      <c r="V1743" s="57"/>
      <c r="W1743" s="57"/>
      <c r="X1743" s="57"/>
      <c r="Y1743" s="57"/>
      <c r="Z1743" s="57"/>
      <c r="AA1743" s="57"/>
      <c r="AB1743" s="57"/>
      <c r="AC1743" s="57"/>
      <c r="AD1743" s="57"/>
      <c r="AE1743" s="57"/>
      <c r="AF1743" s="57"/>
    </row>
    <row r="1744" spans="1:32" x14ac:dyDescent="0.2">
      <c r="A1744" s="57"/>
      <c r="B1744" s="57"/>
      <c r="C1744" s="57"/>
      <c r="D1744" s="57"/>
      <c r="E1744" s="57"/>
      <c r="F1744" s="985"/>
      <c r="G1744" s="57"/>
      <c r="H1744" s="57"/>
      <c r="I1744" s="990"/>
      <c r="J1744" s="57"/>
      <c r="K1744" s="57"/>
      <c r="L1744" s="57"/>
      <c r="M1744" s="57"/>
      <c r="N1744" s="57"/>
      <c r="O1744" s="57"/>
      <c r="P1744" s="57"/>
      <c r="Q1744" s="57"/>
      <c r="R1744" s="57"/>
      <c r="S1744" s="57"/>
      <c r="T1744" s="57"/>
      <c r="U1744" s="57"/>
      <c r="V1744" s="57"/>
      <c r="W1744" s="57"/>
      <c r="X1744" s="57"/>
      <c r="Y1744" s="57"/>
      <c r="Z1744" s="57"/>
      <c r="AA1744" s="57"/>
      <c r="AB1744" s="57"/>
      <c r="AC1744" s="57"/>
      <c r="AD1744" s="57"/>
      <c r="AE1744" s="57"/>
      <c r="AF1744" s="57"/>
    </row>
    <row r="1745" spans="1:32" x14ac:dyDescent="0.2">
      <c r="A1745" s="57"/>
      <c r="B1745" s="57"/>
      <c r="C1745" s="57"/>
      <c r="D1745" s="57"/>
      <c r="E1745" s="57"/>
      <c r="F1745" s="985"/>
      <c r="G1745" s="57"/>
      <c r="H1745" s="57"/>
      <c r="I1745" s="990"/>
      <c r="J1745" s="57"/>
      <c r="K1745" s="57"/>
      <c r="L1745" s="57"/>
      <c r="M1745" s="57"/>
      <c r="N1745" s="57"/>
      <c r="O1745" s="57"/>
      <c r="P1745" s="57"/>
      <c r="Q1745" s="57"/>
      <c r="R1745" s="57"/>
      <c r="S1745" s="57"/>
      <c r="T1745" s="57"/>
      <c r="U1745" s="57"/>
      <c r="V1745" s="57"/>
      <c r="W1745" s="57"/>
      <c r="X1745" s="57"/>
      <c r="Y1745" s="57"/>
      <c r="Z1745" s="57"/>
      <c r="AA1745" s="57"/>
      <c r="AB1745" s="57"/>
      <c r="AC1745" s="57"/>
      <c r="AD1745" s="57"/>
      <c r="AE1745" s="57"/>
      <c r="AF1745" s="57"/>
    </row>
    <row r="1746" spans="1:32" x14ac:dyDescent="0.2">
      <c r="A1746" s="57"/>
      <c r="B1746" s="57"/>
      <c r="C1746" s="57"/>
      <c r="D1746" s="57"/>
      <c r="E1746" s="57"/>
      <c r="F1746" s="985"/>
      <c r="G1746" s="57"/>
      <c r="H1746" s="57"/>
      <c r="I1746" s="990"/>
      <c r="J1746" s="57"/>
      <c r="K1746" s="57"/>
      <c r="L1746" s="57"/>
      <c r="M1746" s="57"/>
      <c r="N1746" s="57"/>
      <c r="O1746" s="57"/>
      <c r="P1746" s="57"/>
      <c r="Q1746" s="57"/>
      <c r="R1746" s="57"/>
      <c r="S1746" s="57"/>
      <c r="T1746" s="57"/>
      <c r="U1746" s="57"/>
      <c r="V1746" s="57"/>
      <c r="W1746" s="57"/>
      <c r="X1746" s="57"/>
      <c r="Y1746" s="57"/>
      <c r="Z1746" s="57"/>
      <c r="AA1746" s="57"/>
      <c r="AB1746" s="57"/>
      <c r="AC1746" s="57"/>
      <c r="AD1746" s="57"/>
      <c r="AE1746" s="57"/>
      <c r="AF1746" s="57"/>
    </row>
    <row r="1747" spans="1:32" x14ac:dyDescent="0.2">
      <c r="A1747" s="57"/>
      <c r="B1747" s="57"/>
      <c r="C1747" s="57"/>
      <c r="D1747" s="57"/>
      <c r="E1747" s="57"/>
      <c r="F1747" s="985"/>
      <c r="G1747" s="57"/>
      <c r="H1747" s="57"/>
      <c r="I1747" s="990"/>
      <c r="J1747" s="57"/>
      <c r="K1747" s="57"/>
      <c r="L1747" s="57"/>
      <c r="M1747" s="57"/>
      <c r="N1747" s="57"/>
      <c r="O1747" s="57"/>
      <c r="P1747" s="57"/>
      <c r="Q1747" s="57"/>
      <c r="R1747" s="57"/>
      <c r="S1747" s="57"/>
      <c r="T1747" s="57"/>
      <c r="U1747" s="57"/>
      <c r="V1747" s="57"/>
      <c r="W1747" s="57"/>
      <c r="X1747" s="57"/>
      <c r="Y1747" s="57"/>
      <c r="Z1747" s="57"/>
      <c r="AA1747" s="57"/>
      <c r="AB1747" s="57"/>
      <c r="AC1747" s="57"/>
      <c r="AD1747" s="57"/>
      <c r="AE1747" s="57"/>
      <c r="AF1747" s="57"/>
    </row>
    <row r="1748" spans="1:32" x14ac:dyDescent="0.2">
      <c r="A1748" s="57"/>
      <c r="B1748" s="57"/>
      <c r="C1748" s="57"/>
      <c r="D1748" s="57"/>
      <c r="E1748" s="57"/>
      <c r="F1748" s="985"/>
      <c r="G1748" s="57"/>
      <c r="H1748" s="57"/>
      <c r="I1748" s="990"/>
      <c r="J1748" s="57"/>
      <c r="K1748" s="57"/>
      <c r="L1748" s="57"/>
      <c r="M1748" s="57"/>
      <c r="N1748" s="57"/>
      <c r="O1748" s="57"/>
      <c r="P1748" s="57"/>
      <c r="Q1748" s="57"/>
      <c r="R1748" s="57"/>
      <c r="S1748" s="57"/>
      <c r="T1748" s="57"/>
      <c r="U1748" s="57"/>
      <c r="V1748" s="57"/>
      <c r="W1748" s="57"/>
      <c r="X1748" s="57"/>
      <c r="Y1748" s="57"/>
      <c r="Z1748" s="57"/>
      <c r="AA1748" s="57"/>
      <c r="AB1748" s="57"/>
      <c r="AC1748" s="57"/>
      <c r="AD1748" s="57"/>
      <c r="AE1748" s="57"/>
      <c r="AF1748" s="57"/>
    </row>
    <row r="1749" spans="1:32" x14ac:dyDescent="0.2">
      <c r="A1749" s="57"/>
      <c r="B1749" s="57"/>
      <c r="C1749" s="57"/>
      <c r="D1749" s="57"/>
      <c r="E1749" s="57"/>
      <c r="F1749" s="985"/>
      <c r="G1749" s="57"/>
      <c r="H1749" s="57"/>
      <c r="I1749" s="990"/>
      <c r="J1749" s="57"/>
      <c r="K1749" s="57"/>
      <c r="L1749" s="57"/>
      <c r="M1749" s="57"/>
      <c r="N1749" s="57"/>
      <c r="O1749" s="57"/>
      <c r="P1749" s="57"/>
      <c r="Q1749" s="57"/>
      <c r="R1749" s="57"/>
      <c r="S1749" s="57"/>
      <c r="T1749" s="57"/>
      <c r="U1749" s="57"/>
      <c r="V1749" s="57"/>
      <c r="W1749" s="57"/>
      <c r="X1749" s="57"/>
      <c r="Y1749" s="57"/>
      <c r="Z1749" s="57"/>
      <c r="AA1749" s="57"/>
      <c r="AB1749" s="57"/>
      <c r="AC1749" s="57"/>
      <c r="AD1749" s="57"/>
      <c r="AE1749" s="57"/>
      <c r="AF1749" s="57"/>
    </row>
    <row r="1750" spans="1:32" x14ac:dyDescent="0.2">
      <c r="A1750" s="57"/>
      <c r="B1750" s="57"/>
      <c r="C1750" s="57"/>
      <c r="D1750" s="57"/>
      <c r="E1750" s="57"/>
      <c r="F1750" s="985"/>
      <c r="G1750" s="57"/>
      <c r="H1750" s="57"/>
      <c r="I1750" s="990"/>
      <c r="J1750" s="57"/>
      <c r="K1750" s="57"/>
      <c r="L1750" s="57"/>
      <c r="M1750" s="57"/>
      <c r="N1750" s="57"/>
      <c r="O1750" s="57"/>
      <c r="P1750" s="57"/>
      <c r="Q1750" s="57"/>
      <c r="R1750" s="57"/>
      <c r="S1750" s="57"/>
      <c r="T1750" s="57"/>
      <c r="U1750" s="57"/>
      <c r="V1750" s="57"/>
      <c r="W1750" s="57"/>
      <c r="X1750" s="57"/>
      <c r="Y1750" s="57"/>
      <c r="Z1750" s="57"/>
      <c r="AA1750" s="57"/>
      <c r="AB1750" s="57"/>
      <c r="AC1750" s="57"/>
      <c r="AD1750" s="57"/>
      <c r="AE1750" s="57"/>
      <c r="AF1750" s="57"/>
    </row>
    <row r="1751" spans="1:32" x14ac:dyDescent="0.2">
      <c r="A1751" s="57"/>
      <c r="B1751" s="57"/>
      <c r="C1751" s="57"/>
      <c r="D1751" s="57"/>
      <c r="E1751" s="57"/>
      <c r="F1751" s="985"/>
      <c r="G1751" s="57"/>
      <c r="H1751" s="57"/>
      <c r="I1751" s="990"/>
      <c r="J1751" s="57"/>
      <c r="K1751" s="57"/>
      <c r="L1751" s="57"/>
      <c r="M1751" s="57"/>
      <c r="N1751" s="57"/>
      <c r="O1751" s="57"/>
      <c r="P1751" s="57"/>
      <c r="Q1751" s="57"/>
      <c r="R1751" s="57"/>
      <c r="S1751" s="57"/>
      <c r="T1751" s="57"/>
      <c r="U1751" s="57"/>
      <c r="V1751" s="57"/>
      <c r="W1751" s="57"/>
      <c r="X1751" s="57"/>
      <c r="Y1751" s="57"/>
      <c r="Z1751" s="57"/>
      <c r="AA1751" s="57"/>
      <c r="AB1751" s="57"/>
      <c r="AC1751" s="57"/>
      <c r="AD1751" s="57"/>
      <c r="AE1751" s="57"/>
      <c r="AF1751" s="57"/>
    </row>
    <row r="1752" spans="1:32" x14ac:dyDescent="0.2">
      <c r="A1752" s="57"/>
      <c r="B1752" s="57"/>
      <c r="C1752" s="57"/>
      <c r="D1752" s="57"/>
      <c r="E1752" s="57"/>
      <c r="F1752" s="985"/>
      <c r="G1752" s="57"/>
      <c r="H1752" s="57"/>
      <c r="I1752" s="990"/>
      <c r="J1752" s="57"/>
      <c r="K1752" s="57"/>
      <c r="L1752" s="57"/>
      <c r="M1752" s="57"/>
      <c r="N1752" s="57"/>
      <c r="O1752" s="57"/>
      <c r="P1752" s="57"/>
      <c r="Q1752" s="57"/>
      <c r="R1752" s="57"/>
      <c r="S1752" s="57"/>
      <c r="T1752" s="57"/>
      <c r="U1752" s="57"/>
      <c r="V1752" s="57"/>
      <c r="W1752" s="57"/>
      <c r="X1752" s="57"/>
      <c r="Y1752" s="57"/>
      <c r="Z1752" s="57"/>
      <c r="AA1752" s="57"/>
      <c r="AB1752" s="57"/>
      <c r="AC1752" s="57"/>
      <c r="AD1752" s="57"/>
      <c r="AE1752" s="57"/>
      <c r="AF1752" s="57"/>
    </row>
    <row r="1753" spans="1:32" x14ac:dyDescent="0.2">
      <c r="A1753" s="57"/>
      <c r="B1753" s="57"/>
      <c r="C1753" s="57"/>
      <c r="D1753" s="57"/>
      <c r="E1753" s="57"/>
      <c r="F1753" s="985"/>
      <c r="G1753" s="57"/>
      <c r="H1753" s="57"/>
      <c r="I1753" s="990"/>
      <c r="J1753" s="57"/>
      <c r="K1753" s="57"/>
      <c r="L1753" s="57"/>
      <c r="M1753" s="57"/>
      <c r="N1753" s="57"/>
      <c r="O1753" s="57"/>
      <c r="P1753" s="57"/>
      <c r="Q1753" s="57"/>
      <c r="R1753" s="57"/>
      <c r="S1753" s="57"/>
      <c r="T1753" s="57"/>
      <c r="U1753" s="57"/>
      <c r="V1753" s="57"/>
      <c r="W1753" s="57"/>
      <c r="X1753" s="57"/>
      <c r="Y1753" s="57"/>
      <c r="Z1753" s="57"/>
      <c r="AA1753" s="57"/>
      <c r="AB1753" s="57"/>
      <c r="AC1753" s="57"/>
      <c r="AD1753" s="57"/>
      <c r="AE1753" s="57"/>
      <c r="AF1753" s="57"/>
    </row>
    <row r="1754" spans="1:32" x14ac:dyDescent="0.2">
      <c r="A1754" s="57"/>
      <c r="B1754" s="57"/>
      <c r="C1754" s="57"/>
      <c r="D1754" s="57"/>
      <c r="E1754" s="57"/>
      <c r="F1754" s="985"/>
      <c r="G1754" s="57"/>
      <c r="H1754" s="57"/>
      <c r="I1754" s="990"/>
      <c r="J1754" s="57"/>
      <c r="K1754" s="57"/>
      <c r="L1754" s="57"/>
      <c r="M1754" s="57"/>
      <c r="N1754" s="57"/>
      <c r="O1754" s="57"/>
      <c r="P1754" s="57"/>
      <c r="Q1754" s="57"/>
      <c r="R1754" s="57"/>
      <c r="S1754" s="57"/>
      <c r="T1754" s="57"/>
      <c r="U1754" s="57"/>
      <c r="V1754" s="57"/>
      <c r="W1754" s="57"/>
      <c r="X1754" s="57"/>
      <c r="Y1754" s="57"/>
      <c r="Z1754" s="57"/>
      <c r="AA1754" s="57"/>
      <c r="AB1754" s="57"/>
      <c r="AC1754" s="57"/>
      <c r="AD1754" s="57"/>
      <c r="AE1754" s="57"/>
      <c r="AF1754" s="57"/>
    </row>
    <row r="1755" spans="1:32" x14ac:dyDescent="0.2">
      <c r="A1755" s="57"/>
      <c r="B1755" s="57"/>
      <c r="C1755" s="57"/>
      <c r="D1755" s="57"/>
      <c r="E1755" s="57"/>
      <c r="F1755" s="985"/>
      <c r="G1755" s="57"/>
      <c r="H1755" s="57"/>
      <c r="I1755" s="990"/>
      <c r="J1755" s="57"/>
      <c r="K1755" s="57"/>
      <c r="L1755" s="57"/>
      <c r="M1755" s="57"/>
      <c r="N1755" s="57"/>
      <c r="O1755" s="57"/>
      <c r="P1755" s="57"/>
      <c r="Q1755" s="57"/>
      <c r="R1755" s="57"/>
      <c r="S1755" s="57"/>
      <c r="T1755" s="57"/>
      <c r="U1755" s="57"/>
      <c r="V1755" s="57"/>
      <c r="W1755" s="57"/>
      <c r="X1755" s="57"/>
      <c r="Y1755" s="57"/>
      <c r="Z1755" s="57"/>
      <c r="AA1755" s="57"/>
      <c r="AB1755" s="57"/>
      <c r="AC1755" s="57"/>
      <c r="AD1755" s="57"/>
      <c r="AE1755" s="57"/>
      <c r="AF1755" s="57"/>
    </row>
    <row r="1756" spans="1:32" x14ac:dyDescent="0.2">
      <c r="A1756" s="57"/>
      <c r="B1756" s="57"/>
      <c r="C1756" s="57"/>
      <c r="D1756" s="57"/>
      <c r="E1756" s="57"/>
      <c r="F1756" s="985"/>
      <c r="G1756" s="57"/>
      <c r="H1756" s="57"/>
      <c r="I1756" s="990"/>
      <c r="J1756" s="57"/>
      <c r="K1756" s="57"/>
      <c r="L1756" s="57"/>
      <c r="M1756" s="57"/>
      <c r="N1756" s="57"/>
      <c r="O1756" s="57"/>
      <c r="P1756" s="57"/>
      <c r="Q1756" s="57"/>
      <c r="R1756" s="57"/>
      <c r="S1756" s="57"/>
      <c r="T1756" s="57"/>
      <c r="U1756" s="57"/>
      <c r="V1756" s="57"/>
      <c r="W1756" s="57"/>
      <c r="X1756" s="57"/>
      <c r="Y1756" s="57"/>
      <c r="Z1756" s="57"/>
      <c r="AA1756" s="57"/>
      <c r="AB1756" s="57"/>
      <c r="AC1756" s="57"/>
      <c r="AD1756" s="57"/>
      <c r="AE1756" s="57"/>
      <c r="AF1756" s="57"/>
    </row>
    <row r="1757" spans="1:32" x14ac:dyDescent="0.2">
      <c r="A1757" s="57"/>
      <c r="B1757" s="57"/>
      <c r="C1757" s="57"/>
      <c r="D1757" s="57"/>
      <c r="E1757" s="57"/>
      <c r="F1757" s="985"/>
      <c r="G1757" s="57"/>
      <c r="H1757" s="57"/>
      <c r="I1757" s="990"/>
      <c r="J1757" s="57"/>
      <c r="K1757" s="57"/>
      <c r="L1757" s="57"/>
      <c r="M1757" s="57"/>
      <c r="N1757" s="57"/>
      <c r="O1757" s="57"/>
      <c r="P1757" s="57"/>
      <c r="Q1757" s="57"/>
      <c r="R1757" s="57"/>
      <c r="S1757" s="57"/>
      <c r="T1757" s="57"/>
      <c r="U1757" s="57"/>
      <c r="V1757" s="57"/>
      <c r="W1757" s="57"/>
      <c r="X1757" s="57"/>
      <c r="Y1757" s="57"/>
      <c r="Z1757" s="57"/>
      <c r="AA1757" s="57"/>
      <c r="AB1757" s="57"/>
      <c r="AC1757" s="57"/>
      <c r="AD1757" s="57"/>
      <c r="AE1757" s="57"/>
      <c r="AF1757" s="57"/>
    </row>
    <row r="1758" spans="1:32" x14ac:dyDescent="0.2">
      <c r="A1758" s="57"/>
      <c r="B1758" s="57"/>
      <c r="C1758" s="57"/>
      <c r="D1758" s="57"/>
      <c r="E1758" s="57"/>
      <c r="F1758" s="985"/>
      <c r="G1758" s="57"/>
      <c r="H1758" s="57"/>
      <c r="I1758" s="990"/>
      <c r="J1758" s="57"/>
      <c r="K1758" s="57"/>
      <c r="L1758" s="57"/>
      <c r="M1758" s="57"/>
      <c r="N1758" s="57"/>
      <c r="O1758" s="57"/>
      <c r="P1758" s="57"/>
      <c r="Q1758" s="57"/>
      <c r="R1758" s="57"/>
      <c r="S1758" s="57"/>
      <c r="T1758" s="57"/>
      <c r="U1758" s="57"/>
      <c r="V1758" s="57"/>
      <c r="W1758" s="57"/>
      <c r="X1758" s="57"/>
      <c r="Y1758" s="57"/>
      <c r="Z1758" s="57"/>
      <c r="AA1758" s="57"/>
      <c r="AB1758" s="57"/>
      <c r="AC1758" s="57"/>
      <c r="AD1758" s="57"/>
      <c r="AE1758" s="57"/>
      <c r="AF1758" s="57"/>
    </row>
    <row r="1759" spans="1:32" x14ac:dyDescent="0.2">
      <c r="A1759" s="57"/>
      <c r="B1759" s="57"/>
      <c r="C1759" s="57"/>
      <c r="D1759" s="57"/>
      <c r="E1759" s="57"/>
      <c r="F1759" s="985"/>
      <c r="G1759" s="57"/>
      <c r="H1759" s="57"/>
      <c r="I1759" s="990"/>
      <c r="J1759" s="57"/>
      <c r="K1759" s="57"/>
      <c r="L1759" s="57"/>
      <c r="M1759" s="57"/>
      <c r="N1759" s="57"/>
      <c r="O1759" s="57"/>
      <c r="P1759" s="57"/>
      <c r="Q1759" s="57"/>
      <c r="R1759" s="57"/>
      <c r="S1759" s="57"/>
      <c r="T1759" s="57"/>
      <c r="U1759" s="57"/>
      <c r="V1759" s="57"/>
      <c r="W1759" s="57"/>
      <c r="X1759" s="57"/>
      <c r="Y1759" s="57"/>
      <c r="Z1759" s="57"/>
      <c r="AA1759" s="57"/>
      <c r="AB1759" s="57"/>
      <c r="AC1759" s="57"/>
      <c r="AD1759" s="57"/>
      <c r="AE1759" s="57"/>
      <c r="AF1759" s="57"/>
    </row>
    <row r="1760" spans="1:32" x14ac:dyDescent="0.2">
      <c r="A1760" s="57"/>
      <c r="B1760" s="57"/>
      <c r="C1760" s="57"/>
      <c r="D1760" s="57"/>
      <c r="E1760" s="57"/>
      <c r="F1760" s="985"/>
      <c r="G1760" s="57"/>
      <c r="H1760" s="57"/>
      <c r="I1760" s="990"/>
      <c r="J1760" s="57"/>
      <c r="K1760" s="57"/>
      <c r="L1760" s="57"/>
      <c r="M1760" s="57"/>
      <c r="N1760" s="57"/>
      <c r="O1760" s="57"/>
      <c r="P1760" s="57"/>
      <c r="Q1760" s="57"/>
      <c r="R1760" s="57"/>
      <c r="S1760" s="57"/>
      <c r="T1760" s="57"/>
      <c r="U1760" s="57"/>
      <c r="V1760" s="57"/>
      <c r="W1760" s="57"/>
      <c r="X1760" s="57"/>
      <c r="Y1760" s="57"/>
      <c r="Z1760" s="57"/>
      <c r="AA1760" s="57"/>
      <c r="AB1760" s="57"/>
      <c r="AC1760" s="57"/>
      <c r="AD1760" s="57"/>
      <c r="AE1760" s="57"/>
      <c r="AF1760" s="57"/>
    </row>
    <row r="1761" spans="1:32" x14ac:dyDescent="0.2">
      <c r="A1761" s="57"/>
      <c r="B1761" s="57"/>
      <c r="C1761" s="57"/>
      <c r="D1761" s="57"/>
      <c r="E1761" s="57"/>
      <c r="F1761" s="985"/>
      <c r="G1761" s="57"/>
      <c r="H1761" s="57"/>
      <c r="I1761" s="990"/>
      <c r="J1761" s="57"/>
      <c r="K1761" s="57"/>
      <c r="L1761" s="57"/>
      <c r="M1761" s="57"/>
      <c r="N1761" s="57"/>
      <c r="O1761" s="57"/>
      <c r="P1761" s="57"/>
      <c r="Q1761" s="57"/>
      <c r="R1761" s="57"/>
      <c r="S1761" s="57"/>
      <c r="T1761" s="57"/>
      <c r="U1761" s="57"/>
      <c r="V1761" s="57"/>
      <c r="W1761" s="57"/>
      <c r="X1761" s="57"/>
      <c r="Y1761" s="57"/>
      <c r="Z1761" s="57"/>
      <c r="AA1761" s="57"/>
      <c r="AB1761" s="57"/>
      <c r="AC1761" s="57"/>
      <c r="AD1761" s="57"/>
      <c r="AE1761" s="57"/>
      <c r="AF1761" s="57"/>
    </row>
    <row r="1762" spans="1:32" x14ac:dyDescent="0.2">
      <c r="A1762" s="57"/>
      <c r="B1762" s="57"/>
      <c r="C1762" s="57"/>
      <c r="D1762" s="57"/>
      <c r="E1762" s="57"/>
      <c r="F1762" s="985"/>
      <c r="G1762" s="57"/>
      <c r="H1762" s="57"/>
      <c r="I1762" s="990"/>
      <c r="J1762" s="57"/>
      <c r="K1762" s="57"/>
      <c r="L1762" s="57"/>
      <c r="M1762" s="57"/>
      <c r="N1762" s="57"/>
      <c r="O1762" s="57"/>
      <c r="P1762" s="57"/>
      <c r="Q1762" s="57"/>
      <c r="R1762" s="57"/>
      <c r="S1762" s="57"/>
      <c r="T1762" s="57"/>
      <c r="U1762" s="57"/>
      <c r="V1762" s="57"/>
      <c r="W1762" s="57"/>
      <c r="X1762" s="57"/>
      <c r="Y1762" s="57"/>
      <c r="Z1762" s="57"/>
      <c r="AA1762" s="57"/>
      <c r="AB1762" s="57"/>
      <c r="AC1762" s="57"/>
      <c r="AD1762" s="57"/>
      <c r="AE1762" s="57"/>
      <c r="AF1762" s="57"/>
    </row>
    <row r="1763" spans="1:32" x14ac:dyDescent="0.2">
      <c r="A1763" s="57"/>
      <c r="B1763" s="57"/>
      <c r="C1763" s="57"/>
      <c r="D1763" s="57"/>
      <c r="E1763" s="57"/>
      <c r="F1763" s="985"/>
      <c r="G1763" s="57"/>
      <c r="H1763" s="57"/>
      <c r="I1763" s="990"/>
      <c r="J1763" s="57"/>
      <c r="K1763" s="57"/>
      <c r="L1763" s="57"/>
      <c r="M1763" s="57"/>
      <c r="N1763" s="57"/>
      <c r="O1763" s="57"/>
      <c r="P1763" s="57"/>
      <c r="Q1763" s="57"/>
      <c r="R1763" s="57"/>
      <c r="S1763" s="57"/>
      <c r="T1763" s="57"/>
      <c r="U1763" s="57"/>
      <c r="V1763" s="57"/>
      <c r="W1763" s="57"/>
      <c r="X1763" s="57"/>
      <c r="Y1763" s="57"/>
      <c r="Z1763" s="57"/>
      <c r="AA1763" s="57"/>
      <c r="AB1763" s="57"/>
      <c r="AC1763" s="57"/>
      <c r="AD1763" s="57"/>
      <c r="AE1763" s="57"/>
      <c r="AF1763" s="57"/>
    </row>
    <row r="1764" spans="1:32" x14ac:dyDescent="0.2">
      <c r="A1764" s="57"/>
      <c r="B1764" s="57"/>
      <c r="C1764" s="57"/>
      <c r="D1764" s="57"/>
      <c r="E1764" s="57"/>
      <c r="F1764" s="985"/>
      <c r="G1764" s="57"/>
      <c r="H1764" s="57"/>
      <c r="I1764" s="990"/>
      <c r="J1764" s="57"/>
      <c r="K1764" s="57"/>
      <c r="L1764" s="57"/>
      <c r="M1764" s="57"/>
      <c r="N1764" s="57"/>
      <c r="O1764" s="57"/>
      <c r="P1764" s="57"/>
      <c r="Q1764" s="57"/>
      <c r="R1764" s="57"/>
      <c r="S1764" s="57"/>
      <c r="T1764" s="57"/>
      <c r="U1764" s="57"/>
      <c r="V1764" s="57"/>
      <c r="W1764" s="57"/>
      <c r="X1764" s="57"/>
      <c r="Y1764" s="57"/>
      <c r="Z1764" s="57"/>
      <c r="AA1764" s="57"/>
      <c r="AB1764" s="57"/>
      <c r="AC1764" s="57"/>
      <c r="AD1764" s="57"/>
      <c r="AE1764" s="57"/>
      <c r="AF1764" s="57"/>
    </row>
    <row r="1765" spans="1:32" x14ac:dyDescent="0.2">
      <c r="A1765" s="57"/>
      <c r="B1765" s="57"/>
      <c r="C1765" s="57"/>
      <c r="D1765" s="57"/>
      <c r="E1765" s="57"/>
      <c r="F1765" s="985"/>
      <c r="G1765" s="57"/>
      <c r="H1765" s="57"/>
      <c r="I1765" s="990"/>
      <c r="J1765" s="57"/>
      <c r="K1765" s="57"/>
      <c r="L1765" s="57"/>
      <c r="M1765" s="57"/>
      <c r="N1765" s="57"/>
      <c r="O1765" s="57"/>
      <c r="P1765" s="57"/>
      <c r="Q1765" s="57"/>
      <c r="R1765" s="57"/>
      <c r="S1765" s="57"/>
      <c r="T1765" s="57"/>
      <c r="U1765" s="57"/>
      <c r="V1765" s="57"/>
      <c r="W1765" s="57"/>
      <c r="X1765" s="57"/>
      <c r="Y1765" s="57"/>
      <c r="Z1765" s="57"/>
      <c r="AA1765" s="57"/>
      <c r="AB1765" s="57"/>
      <c r="AC1765" s="57"/>
      <c r="AD1765" s="57"/>
      <c r="AE1765" s="57"/>
      <c r="AF1765" s="57"/>
    </row>
    <row r="1766" spans="1:32" x14ac:dyDescent="0.2">
      <c r="A1766" s="57"/>
      <c r="B1766" s="57"/>
      <c r="C1766" s="57"/>
      <c r="D1766" s="57"/>
      <c r="E1766" s="57"/>
      <c r="F1766" s="985"/>
      <c r="G1766" s="57"/>
      <c r="H1766" s="57"/>
      <c r="I1766" s="990"/>
      <c r="J1766" s="57"/>
      <c r="K1766" s="57"/>
      <c r="L1766" s="57"/>
      <c r="M1766" s="57"/>
      <c r="N1766" s="57"/>
      <c r="O1766" s="57"/>
      <c r="P1766" s="57"/>
      <c r="Q1766" s="57"/>
      <c r="R1766" s="57"/>
      <c r="S1766" s="57"/>
      <c r="T1766" s="57"/>
      <c r="U1766" s="57"/>
      <c r="V1766" s="57"/>
      <c r="W1766" s="57"/>
      <c r="X1766" s="57"/>
      <c r="Y1766" s="57"/>
      <c r="Z1766" s="57"/>
      <c r="AA1766" s="57"/>
      <c r="AB1766" s="57"/>
      <c r="AC1766" s="57"/>
      <c r="AD1766" s="57"/>
      <c r="AE1766" s="57"/>
      <c r="AF1766" s="57"/>
    </row>
    <row r="1767" spans="1:32" x14ac:dyDescent="0.2">
      <c r="A1767" s="57"/>
      <c r="B1767" s="57"/>
      <c r="C1767" s="57"/>
      <c r="D1767" s="57"/>
      <c r="E1767" s="57"/>
      <c r="F1767" s="985"/>
      <c r="G1767" s="57"/>
      <c r="H1767" s="57"/>
      <c r="I1767" s="990"/>
      <c r="J1767" s="57"/>
      <c r="K1767" s="57"/>
      <c r="L1767" s="57"/>
      <c r="M1767" s="57"/>
      <c r="N1767" s="57"/>
      <c r="O1767" s="57"/>
      <c r="P1767" s="57"/>
      <c r="Q1767" s="57"/>
      <c r="R1767" s="57"/>
      <c r="S1767" s="57"/>
      <c r="T1767" s="57"/>
      <c r="U1767" s="57"/>
      <c r="V1767" s="57"/>
      <c r="W1767" s="57"/>
      <c r="X1767" s="57"/>
      <c r="Y1767" s="57"/>
      <c r="Z1767" s="57"/>
      <c r="AA1767" s="57"/>
      <c r="AB1767" s="57"/>
      <c r="AC1767" s="57"/>
      <c r="AD1767" s="57"/>
      <c r="AE1767" s="57"/>
      <c r="AF1767" s="57"/>
    </row>
    <row r="1768" spans="1:32" x14ac:dyDescent="0.2">
      <c r="A1768" s="57"/>
      <c r="B1768" s="57"/>
      <c r="C1768" s="57"/>
      <c r="D1768" s="57"/>
      <c r="E1768" s="57"/>
      <c r="F1768" s="985"/>
      <c r="G1768" s="57"/>
      <c r="H1768" s="57"/>
      <c r="I1768" s="990"/>
      <c r="J1768" s="57"/>
      <c r="K1768" s="57"/>
      <c r="L1768" s="57"/>
      <c r="M1768" s="57"/>
      <c r="N1768" s="57"/>
      <c r="O1768" s="57"/>
      <c r="P1768" s="57"/>
      <c r="Q1768" s="57"/>
      <c r="R1768" s="57"/>
      <c r="S1768" s="57"/>
      <c r="T1768" s="57"/>
      <c r="U1768" s="57"/>
      <c r="V1768" s="57"/>
      <c r="W1768" s="57"/>
      <c r="X1768" s="57"/>
      <c r="Y1768" s="57"/>
      <c r="Z1768" s="57"/>
      <c r="AA1768" s="57"/>
      <c r="AB1768" s="57"/>
      <c r="AC1768" s="57"/>
      <c r="AD1768" s="57"/>
      <c r="AE1768" s="57"/>
      <c r="AF1768" s="57"/>
    </row>
    <row r="1769" spans="1:32" x14ac:dyDescent="0.2">
      <c r="A1769" s="57"/>
      <c r="B1769" s="57"/>
      <c r="C1769" s="57"/>
      <c r="D1769" s="57"/>
      <c r="E1769" s="57"/>
      <c r="F1769" s="985"/>
      <c r="G1769" s="57"/>
      <c r="H1769" s="57"/>
      <c r="I1769" s="990"/>
      <c r="J1769" s="57"/>
      <c r="K1769" s="57"/>
      <c r="L1769" s="57"/>
      <c r="M1769" s="57"/>
      <c r="N1769" s="57"/>
      <c r="O1769" s="57"/>
      <c r="P1769" s="57"/>
      <c r="Q1769" s="57"/>
      <c r="R1769" s="57"/>
      <c r="S1769" s="57"/>
      <c r="T1769" s="57"/>
      <c r="U1769" s="57"/>
      <c r="V1769" s="57"/>
      <c r="W1769" s="57"/>
      <c r="X1769" s="57"/>
      <c r="Y1769" s="57"/>
      <c r="Z1769" s="57"/>
      <c r="AA1769" s="57"/>
      <c r="AB1769" s="57"/>
      <c r="AC1769" s="57"/>
      <c r="AD1769" s="57"/>
      <c r="AE1769" s="57"/>
      <c r="AF1769" s="57"/>
    </row>
    <row r="1770" spans="1:32" x14ac:dyDescent="0.2">
      <c r="A1770" s="57"/>
      <c r="B1770" s="57"/>
      <c r="C1770" s="57"/>
      <c r="D1770" s="57"/>
      <c r="E1770" s="57"/>
      <c r="F1770" s="985"/>
      <c r="G1770" s="57"/>
      <c r="H1770" s="57"/>
      <c r="I1770" s="990"/>
      <c r="J1770" s="57"/>
      <c r="K1770" s="57"/>
      <c r="L1770" s="57"/>
      <c r="M1770" s="57"/>
      <c r="N1770" s="57"/>
      <c r="O1770" s="57"/>
      <c r="P1770" s="57"/>
      <c r="Q1770" s="57"/>
      <c r="R1770" s="57"/>
      <c r="S1770" s="57"/>
      <c r="T1770" s="57"/>
      <c r="U1770" s="57"/>
      <c r="V1770" s="57"/>
      <c r="W1770" s="57"/>
      <c r="X1770" s="57"/>
      <c r="Y1770" s="57"/>
      <c r="Z1770" s="57"/>
      <c r="AA1770" s="57"/>
      <c r="AB1770" s="57"/>
      <c r="AC1770" s="57"/>
      <c r="AD1770" s="57"/>
      <c r="AE1770" s="57"/>
      <c r="AF1770" s="57"/>
    </row>
    <row r="1771" spans="1:32" x14ac:dyDescent="0.2">
      <c r="A1771" s="57"/>
      <c r="B1771" s="57"/>
      <c r="C1771" s="57"/>
      <c r="D1771" s="57"/>
      <c r="E1771" s="57"/>
      <c r="F1771" s="985"/>
      <c r="G1771" s="57"/>
      <c r="H1771" s="57"/>
      <c r="I1771" s="990"/>
      <c r="J1771" s="57"/>
      <c r="K1771" s="57"/>
      <c r="L1771" s="57"/>
      <c r="M1771" s="57"/>
      <c r="N1771" s="57"/>
      <c r="O1771" s="57"/>
      <c r="P1771" s="57"/>
      <c r="Q1771" s="57"/>
      <c r="R1771" s="57"/>
      <c r="S1771" s="57"/>
      <c r="T1771" s="57"/>
      <c r="U1771" s="57"/>
      <c r="V1771" s="57"/>
      <c r="W1771" s="57"/>
      <c r="X1771" s="57"/>
      <c r="Y1771" s="57"/>
      <c r="Z1771" s="57"/>
      <c r="AA1771" s="57"/>
      <c r="AB1771" s="57"/>
      <c r="AC1771" s="57"/>
      <c r="AD1771" s="57"/>
      <c r="AE1771" s="57"/>
      <c r="AF1771" s="57"/>
    </row>
    <row r="1772" spans="1:32" x14ac:dyDescent="0.2">
      <c r="A1772" s="57"/>
      <c r="B1772" s="57"/>
      <c r="C1772" s="57"/>
      <c r="D1772" s="57"/>
      <c r="E1772" s="57"/>
      <c r="F1772" s="985"/>
      <c r="G1772" s="57"/>
      <c r="H1772" s="57"/>
      <c r="I1772" s="990"/>
      <c r="J1772" s="57"/>
      <c r="K1772" s="57"/>
      <c r="L1772" s="57"/>
      <c r="M1772" s="57"/>
      <c r="N1772" s="57"/>
      <c r="O1772" s="57"/>
      <c r="P1772" s="57"/>
      <c r="Q1772" s="57"/>
      <c r="R1772" s="57"/>
      <c r="S1772" s="57"/>
      <c r="T1772" s="57"/>
      <c r="U1772" s="57"/>
      <c r="V1772" s="57"/>
      <c r="W1772" s="57"/>
      <c r="X1772" s="57"/>
      <c r="Y1772" s="57"/>
      <c r="Z1772" s="57"/>
      <c r="AA1772" s="57"/>
      <c r="AB1772" s="57"/>
      <c r="AC1772" s="57"/>
      <c r="AD1772" s="57"/>
      <c r="AE1772" s="57"/>
      <c r="AF1772" s="57"/>
    </row>
    <row r="1773" spans="1:32" x14ac:dyDescent="0.2">
      <c r="A1773" s="57"/>
      <c r="B1773" s="57"/>
      <c r="C1773" s="57"/>
      <c r="D1773" s="57"/>
      <c r="E1773" s="57"/>
      <c r="F1773" s="985"/>
      <c r="G1773" s="57"/>
      <c r="H1773" s="57"/>
      <c r="I1773" s="990"/>
      <c r="J1773" s="57"/>
      <c r="K1773" s="57"/>
      <c r="L1773" s="57"/>
      <c r="M1773" s="57"/>
      <c r="N1773" s="57"/>
      <c r="O1773" s="57"/>
      <c r="P1773" s="57"/>
      <c r="Q1773" s="57"/>
      <c r="R1773" s="57"/>
      <c r="S1773" s="57"/>
      <c r="T1773" s="57"/>
      <c r="U1773" s="57"/>
      <c r="V1773" s="57"/>
      <c r="W1773" s="57"/>
      <c r="X1773" s="57"/>
      <c r="Y1773" s="57"/>
      <c r="Z1773" s="57"/>
      <c r="AA1773" s="57"/>
      <c r="AB1773" s="57"/>
      <c r="AC1773" s="57"/>
      <c r="AD1773" s="57"/>
      <c r="AE1773" s="57"/>
      <c r="AF1773" s="57"/>
    </row>
    <row r="1774" spans="1:32" x14ac:dyDescent="0.2">
      <c r="A1774" s="57"/>
      <c r="B1774" s="57"/>
      <c r="C1774" s="57"/>
      <c r="D1774" s="57"/>
      <c r="E1774" s="57"/>
      <c r="F1774" s="985"/>
      <c r="G1774" s="57"/>
      <c r="H1774" s="57"/>
      <c r="I1774" s="990"/>
      <c r="J1774" s="57"/>
      <c r="K1774" s="57"/>
      <c r="L1774" s="57"/>
      <c r="M1774" s="57"/>
      <c r="N1774" s="57"/>
      <c r="O1774" s="57"/>
      <c r="P1774" s="57"/>
      <c r="Q1774" s="57"/>
      <c r="R1774" s="57"/>
      <c r="S1774" s="57"/>
      <c r="T1774" s="57"/>
      <c r="U1774" s="57"/>
      <c r="V1774" s="57"/>
      <c r="W1774" s="57"/>
      <c r="X1774" s="57"/>
      <c r="Y1774" s="57"/>
      <c r="Z1774" s="57"/>
      <c r="AA1774" s="57"/>
      <c r="AB1774" s="57"/>
      <c r="AC1774" s="57"/>
      <c r="AD1774" s="57"/>
      <c r="AE1774" s="57"/>
      <c r="AF1774" s="57"/>
    </row>
    <row r="1775" spans="1:32" x14ac:dyDescent="0.2">
      <c r="A1775" s="57"/>
      <c r="B1775" s="57"/>
      <c r="C1775" s="57"/>
      <c r="D1775" s="57"/>
      <c r="E1775" s="57"/>
      <c r="F1775" s="985"/>
      <c r="G1775" s="57"/>
      <c r="H1775" s="57"/>
      <c r="I1775" s="990"/>
      <c r="J1775" s="57"/>
      <c r="K1775" s="57"/>
      <c r="L1775" s="57"/>
      <c r="M1775" s="57"/>
      <c r="N1775" s="57"/>
      <c r="O1775" s="57"/>
      <c r="P1775" s="57"/>
      <c r="Q1775" s="57"/>
      <c r="R1775" s="57"/>
      <c r="S1775" s="57"/>
      <c r="T1775" s="57"/>
      <c r="U1775" s="57"/>
      <c r="V1775" s="57"/>
      <c r="W1775" s="57"/>
      <c r="X1775" s="57"/>
      <c r="Y1775" s="57"/>
      <c r="Z1775" s="57"/>
      <c r="AA1775" s="57"/>
      <c r="AB1775" s="57"/>
      <c r="AC1775" s="57"/>
      <c r="AD1775" s="57"/>
      <c r="AE1775" s="57"/>
      <c r="AF1775" s="57"/>
    </row>
    <row r="1776" spans="1:32" x14ac:dyDescent="0.2">
      <c r="A1776" s="57"/>
      <c r="B1776" s="57"/>
      <c r="C1776" s="57"/>
      <c r="D1776" s="57"/>
      <c r="E1776" s="57"/>
      <c r="F1776" s="985"/>
      <c r="G1776" s="57"/>
      <c r="H1776" s="57"/>
      <c r="I1776" s="990"/>
      <c r="J1776" s="57"/>
      <c r="K1776" s="57"/>
      <c r="L1776" s="57"/>
      <c r="M1776" s="57"/>
      <c r="N1776" s="57"/>
      <c r="O1776" s="57"/>
      <c r="P1776" s="57"/>
      <c r="Q1776" s="57"/>
      <c r="R1776" s="57"/>
      <c r="S1776" s="57"/>
      <c r="T1776" s="57"/>
      <c r="U1776" s="57"/>
      <c r="V1776" s="57"/>
      <c r="W1776" s="57"/>
      <c r="X1776" s="57"/>
      <c r="Y1776" s="57"/>
      <c r="Z1776" s="57"/>
      <c r="AA1776" s="57"/>
      <c r="AB1776" s="57"/>
      <c r="AC1776" s="57"/>
      <c r="AD1776" s="57"/>
      <c r="AE1776" s="57"/>
      <c r="AF1776" s="57"/>
    </row>
    <row r="1777" spans="1:32" x14ac:dyDescent="0.2">
      <c r="A1777" s="57"/>
      <c r="B1777" s="57"/>
      <c r="C1777" s="57"/>
      <c r="D1777" s="57"/>
      <c r="E1777" s="57"/>
      <c r="F1777" s="985"/>
      <c r="G1777" s="57"/>
      <c r="H1777" s="57"/>
      <c r="I1777" s="990"/>
      <c r="J1777" s="57"/>
      <c r="K1777" s="57"/>
      <c r="L1777" s="57"/>
      <c r="M1777" s="57"/>
      <c r="N1777" s="57"/>
      <c r="O1777" s="57"/>
      <c r="P1777" s="57"/>
      <c r="Q1777" s="57"/>
      <c r="R1777" s="57"/>
      <c r="S1777" s="57"/>
      <c r="T1777" s="57"/>
      <c r="U1777" s="57"/>
      <c r="V1777" s="57"/>
      <c r="W1777" s="57"/>
      <c r="X1777" s="57"/>
      <c r="Y1777" s="57"/>
      <c r="Z1777" s="57"/>
      <c r="AA1777" s="57"/>
      <c r="AB1777" s="57"/>
      <c r="AC1777" s="57"/>
      <c r="AD1777" s="57"/>
      <c r="AE1777" s="57"/>
      <c r="AF1777" s="57"/>
    </row>
    <row r="1778" spans="1:32" x14ac:dyDescent="0.2">
      <c r="A1778" s="57"/>
      <c r="B1778" s="57"/>
      <c r="C1778" s="57"/>
      <c r="D1778" s="57"/>
      <c r="E1778" s="57"/>
      <c r="F1778" s="985"/>
      <c r="G1778" s="57"/>
      <c r="H1778" s="57"/>
      <c r="I1778" s="990"/>
      <c r="J1778" s="57"/>
      <c r="K1778" s="57"/>
      <c r="L1778" s="57"/>
      <c r="M1778" s="57"/>
      <c r="N1778" s="57"/>
      <c r="O1778" s="57"/>
      <c r="P1778" s="57"/>
      <c r="Q1778" s="57"/>
      <c r="R1778" s="57"/>
      <c r="S1778" s="57"/>
      <c r="T1778" s="57"/>
      <c r="U1778" s="57"/>
      <c r="V1778" s="57"/>
      <c r="W1778" s="57"/>
      <c r="X1778" s="57"/>
      <c r="Y1778" s="57"/>
      <c r="Z1778" s="57"/>
      <c r="AA1778" s="57"/>
      <c r="AB1778" s="57"/>
      <c r="AC1778" s="57"/>
      <c r="AD1778" s="57"/>
      <c r="AE1778" s="57"/>
      <c r="AF1778" s="57"/>
    </row>
    <row r="1779" spans="1:32" x14ac:dyDescent="0.2">
      <c r="A1779" s="57"/>
      <c r="B1779" s="57"/>
      <c r="C1779" s="57"/>
      <c r="D1779" s="57"/>
      <c r="E1779" s="57"/>
      <c r="F1779" s="985"/>
      <c r="G1779" s="57"/>
      <c r="H1779" s="57"/>
      <c r="I1779" s="990"/>
      <c r="J1779" s="57"/>
      <c r="K1779" s="57"/>
      <c r="L1779" s="57"/>
      <c r="M1779" s="57"/>
      <c r="N1779" s="57"/>
      <c r="O1779" s="57"/>
      <c r="P1779" s="57"/>
      <c r="Q1779" s="57"/>
      <c r="R1779" s="57"/>
      <c r="S1779" s="57"/>
      <c r="T1779" s="57"/>
      <c r="U1779" s="57"/>
      <c r="V1779" s="57"/>
      <c r="W1779" s="57"/>
      <c r="X1779" s="57"/>
      <c r="Y1779" s="57"/>
      <c r="Z1779" s="57"/>
      <c r="AA1779" s="57"/>
      <c r="AB1779" s="57"/>
      <c r="AC1779" s="57"/>
      <c r="AD1779" s="57"/>
      <c r="AE1779" s="57"/>
      <c r="AF1779" s="57"/>
    </row>
    <row r="1780" spans="1:32" x14ac:dyDescent="0.2">
      <c r="A1780" s="57"/>
      <c r="B1780" s="57"/>
      <c r="C1780" s="57"/>
      <c r="D1780" s="57"/>
      <c r="E1780" s="57"/>
      <c r="F1780" s="985"/>
      <c r="G1780" s="57"/>
      <c r="H1780" s="57"/>
      <c r="I1780" s="990"/>
      <c r="J1780" s="57"/>
      <c r="K1780" s="57"/>
      <c r="L1780" s="57"/>
      <c r="M1780" s="57"/>
      <c r="N1780" s="57"/>
      <c r="O1780" s="57"/>
      <c r="P1780" s="57"/>
      <c r="Q1780" s="57"/>
      <c r="R1780" s="57"/>
      <c r="S1780" s="57"/>
      <c r="T1780" s="57"/>
      <c r="U1780" s="57"/>
      <c r="V1780" s="57"/>
      <c r="W1780" s="57"/>
      <c r="X1780" s="57"/>
      <c r="Y1780" s="57"/>
      <c r="Z1780" s="57"/>
      <c r="AA1780" s="57"/>
      <c r="AB1780" s="57"/>
      <c r="AC1780" s="57"/>
      <c r="AD1780" s="57"/>
      <c r="AE1780" s="57"/>
      <c r="AF1780" s="57"/>
    </row>
    <row r="1781" spans="1:32" x14ac:dyDescent="0.2">
      <c r="A1781" s="57"/>
      <c r="B1781" s="57"/>
      <c r="C1781" s="57"/>
      <c r="D1781" s="57"/>
      <c r="E1781" s="57"/>
      <c r="F1781" s="985"/>
      <c r="G1781" s="57"/>
      <c r="H1781" s="57"/>
      <c r="I1781" s="990"/>
      <c r="J1781" s="57"/>
      <c r="K1781" s="57"/>
      <c r="L1781" s="57"/>
      <c r="M1781" s="57"/>
      <c r="N1781" s="57"/>
      <c r="O1781" s="57"/>
      <c r="P1781" s="57"/>
      <c r="Q1781" s="57"/>
      <c r="R1781" s="57"/>
      <c r="S1781" s="57"/>
      <c r="T1781" s="57"/>
      <c r="U1781" s="57"/>
      <c r="V1781" s="57"/>
      <c r="W1781" s="57"/>
      <c r="X1781" s="57"/>
      <c r="Y1781" s="57"/>
      <c r="Z1781" s="57"/>
      <c r="AA1781" s="57"/>
      <c r="AB1781" s="57"/>
      <c r="AC1781" s="57"/>
      <c r="AD1781" s="57"/>
      <c r="AE1781" s="57"/>
      <c r="AF1781" s="57"/>
    </row>
    <row r="1782" spans="1:32" x14ac:dyDescent="0.2">
      <c r="A1782" s="57"/>
      <c r="B1782" s="57"/>
      <c r="C1782" s="57"/>
      <c r="D1782" s="57"/>
      <c r="E1782" s="57"/>
      <c r="F1782" s="985"/>
      <c r="G1782" s="57"/>
      <c r="H1782" s="57"/>
      <c r="I1782" s="990"/>
      <c r="J1782" s="57"/>
      <c r="K1782" s="57"/>
      <c r="L1782" s="57"/>
      <c r="M1782" s="57"/>
      <c r="N1782" s="57"/>
      <c r="O1782" s="57"/>
      <c r="P1782" s="57"/>
      <c r="Q1782" s="57"/>
      <c r="R1782" s="57"/>
      <c r="S1782" s="57"/>
      <c r="T1782" s="57"/>
      <c r="U1782" s="57"/>
      <c r="V1782" s="57"/>
      <c r="W1782" s="57"/>
      <c r="X1782" s="57"/>
      <c r="Y1782" s="57"/>
      <c r="Z1782" s="57"/>
      <c r="AA1782" s="57"/>
      <c r="AB1782" s="57"/>
      <c r="AC1782" s="57"/>
      <c r="AD1782" s="57"/>
      <c r="AE1782" s="57"/>
      <c r="AF1782" s="57"/>
    </row>
    <row r="1783" spans="1:32" x14ac:dyDescent="0.2">
      <c r="A1783" s="57"/>
      <c r="B1783" s="57"/>
      <c r="C1783" s="57"/>
      <c r="D1783" s="57"/>
      <c r="E1783" s="57"/>
      <c r="F1783" s="985"/>
      <c r="G1783" s="57"/>
      <c r="H1783" s="57"/>
      <c r="I1783" s="990"/>
      <c r="J1783" s="57"/>
      <c r="K1783" s="57"/>
      <c r="L1783" s="57"/>
      <c r="M1783" s="57"/>
      <c r="N1783" s="57"/>
      <c r="O1783" s="57"/>
      <c r="P1783" s="57"/>
      <c r="Q1783" s="57"/>
      <c r="R1783" s="57"/>
      <c r="S1783" s="57"/>
      <c r="T1783" s="57"/>
      <c r="U1783" s="57"/>
      <c r="V1783" s="57"/>
      <c r="W1783" s="57"/>
      <c r="X1783" s="57"/>
      <c r="Y1783" s="57"/>
      <c r="Z1783" s="57"/>
      <c r="AA1783" s="57"/>
      <c r="AB1783" s="57"/>
      <c r="AC1783" s="57"/>
      <c r="AD1783" s="57"/>
      <c r="AE1783" s="57"/>
      <c r="AF1783" s="57"/>
    </row>
    <row r="1784" spans="1:32" x14ac:dyDescent="0.2">
      <c r="A1784" s="57"/>
      <c r="B1784" s="57"/>
      <c r="C1784" s="57"/>
      <c r="D1784" s="57"/>
      <c r="E1784" s="57"/>
      <c r="F1784" s="985"/>
      <c r="G1784" s="57"/>
      <c r="H1784" s="57"/>
      <c r="I1784" s="990"/>
      <c r="J1784" s="57"/>
      <c r="K1784" s="57"/>
      <c r="L1784" s="57"/>
      <c r="M1784" s="57"/>
      <c r="N1784" s="57"/>
      <c r="O1784" s="57"/>
      <c r="P1784" s="57"/>
      <c r="Q1784" s="57"/>
      <c r="R1784" s="57"/>
      <c r="S1784" s="57"/>
      <c r="T1784" s="57"/>
      <c r="U1784" s="57"/>
      <c r="V1784" s="57"/>
      <c r="W1784" s="57"/>
      <c r="X1784" s="57"/>
      <c r="Y1784" s="57"/>
      <c r="Z1784" s="57"/>
      <c r="AA1784" s="57"/>
      <c r="AB1784" s="57"/>
      <c r="AC1784" s="57"/>
      <c r="AD1784" s="57"/>
      <c r="AE1784" s="57"/>
      <c r="AF1784" s="57"/>
    </row>
    <row r="1785" spans="1:32" x14ac:dyDescent="0.2">
      <c r="A1785" s="57"/>
      <c r="B1785" s="57"/>
      <c r="C1785" s="57"/>
      <c r="D1785" s="57"/>
      <c r="E1785" s="57"/>
      <c r="F1785" s="985"/>
      <c r="G1785" s="57"/>
      <c r="H1785" s="57"/>
      <c r="I1785" s="990"/>
      <c r="J1785" s="57"/>
      <c r="K1785" s="57"/>
      <c r="L1785" s="57"/>
      <c r="M1785" s="57"/>
      <c r="N1785" s="57"/>
      <c r="O1785" s="57"/>
      <c r="P1785" s="57"/>
      <c r="Q1785" s="57"/>
      <c r="R1785" s="57"/>
      <c r="S1785" s="57"/>
      <c r="T1785" s="57"/>
      <c r="U1785" s="57"/>
      <c r="V1785" s="57"/>
      <c r="W1785" s="57"/>
      <c r="X1785" s="57"/>
      <c r="Y1785" s="57"/>
      <c r="Z1785" s="57"/>
      <c r="AA1785" s="57"/>
      <c r="AB1785" s="57"/>
      <c r="AC1785" s="57"/>
      <c r="AD1785" s="57"/>
      <c r="AE1785" s="57"/>
      <c r="AF1785" s="57"/>
    </row>
    <row r="1786" spans="1:32" x14ac:dyDescent="0.2">
      <c r="A1786" s="57"/>
      <c r="B1786" s="57"/>
      <c r="C1786" s="57"/>
      <c r="D1786" s="57"/>
      <c r="E1786" s="57"/>
      <c r="F1786" s="985"/>
      <c r="G1786" s="57"/>
      <c r="H1786" s="57"/>
      <c r="I1786" s="990"/>
      <c r="J1786" s="57"/>
      <c r="K1786" s="57"/>
      <c r="L1786" s="57"/>
      <c r="M1786" s="57"/>
      <c r="N1786" s="57"/>
      <c r="O1786" s="57"/>
      <c r="P1786" s="57"/>
      <c r="Q1786" s="57"/>
      <c r="R1786" s="57"/>
      <c r="S1786" s="57"/>
      <c r="T1786" s="57"/>
      <c r="U1786" s="57"/>
      <c r="V1786" s="57"/>
      <c r="W1786" s="57"/>
      <c r="X1786" s="57"/>
      <c r="Y1786" s="57"/>
      <c r="Z1786" s="57"/>
      <c r="AA1786" s="57"/>
      <c r="AB1786" s="57"/>
      <c r="AC1786" s="57"/>
      <c r="AD1786" s="57"/>
      <c r="AE1786" s="57"/>
      <c r="AF1786" s="57"/>
    </row>
    <row r="1787" spans="1:32" x14ac:dyDescent="0.2">
      <c r="A1787" s="57"/>
      <c r="B1787" s="57"/>
      <c r="C1787" s="57"/>
      <c r="D1787" s="57"/>
      <c r="E1787" s="57"/>
      <c r="F1787" s="985"/>
      <c r="G1787" s="57"/>
      <c r="H1787" s="57"/>
      <c r="I1787" s="990"/>
      <c r="J1787" s="57"/>
      <c r="K1787" s="57"/>
      <c r="L1787" s="57"/>
      <c r="M1787" s="57"/>
      <c r="N1787" s="57"/>
      <c r="O1787" s="57"/>
      <c r="P1787" s="57"/>
      <c r="Q1787" s="57"/>
      <c r="R1787" s="57"/>
      <c r="S1787" s="57"/>
      <c r="T1787" s="57"/>
      <c r="U1787" s="57"/>
      <c r="V1787" s="57"/>
      <c r="W1787" s="57"/>
      <c r="X1787" s="57"/>
      <c r="Y1787" s="57"/>
      <c r="Z1787" s="57"/>
      <c r="AA1787" s="57"/>
      <c r="AB1787" s="57"/>
      <c r="AC1787" s="57"/>
      <c r="AD1787" s="57"/>
      <c r="AE1787" s="57"/>
      <c r="AF1787" s="57"/>
    </row>
    <row r="1788" spans="1:32" x14ac:dyDescent="0.2">
      <c r="A1788" s="57"/>
      <c r="B1788" s="57"/>
      <c r="C1788" s="57"/>
      <c r="D1788" s="57"/>
      <c r="E1788" s="57"/>
      <c r="F1788" s="985"/>
      <c r="G1788" s="57"/>
      <c r="H1788" s="57"/>
      <c r="I1788" s="990"/>
      <c r="J1788" s="57"/>
      <c r="K1788" s="57"/>
      <c r="L1788" s="57"/>
      <c r="M1788" s="57"/>
      <c r="N1788" s="57"/>
      <c r="O1788" s="57"/>
      <c r="P1788" s="57"/>
      <c r="Q1788" s="57"/>
      <c r="R1788" s="57"/>
      <c r="S1788" s="57"/>
      <c r="T1788" s="57"/>
      <c r="U1788" s="57"/>
      <c r="V1788" s="57"/>
      <c r="W1788" s="57"/>
      <c r="X1788" s="57"/>
      <c r="Y1788" s="57"/>
      <c r="Z1788" s="57"/>
      <c r="AA1788" s="57"/>
      <c r="AB1788" s="57"/>
      <c r="AC1788" s="57"/>
      <c r="AD1788" s="57"/>
      <c r="AE1788" s="57"/>
      <c r="AF1788" s="57"/>
    </row>
    <row r="1789" spans="1:32" x14ac:dyDescent="0.2">
      <c r="A1789" s="57"/>
      <c r="B1789" s="57"/>
      <c r="C1789" s="57"/>
      <c r="D1789" s="57"/>
      <c r="E1789" s="57"/>
      <c r="F1789" s="985"/>
      <c r="G1789" s="57"/>
      <c r="H1789" s="57"/>
      <c r="I1789" s="990"/>
      <c r="J1789" s="57"/>
      <c r="K1789" s="57"/>
      <c r="L1789" s="57"/>
      <c r="M1789" s="57"/>
      <c r="N1789" s="57"/>
      <c r="O1789" s="57"/>
      <c r="P1789" s="57"/>
      <c r="Q1789" s="57"/>
      <c r="R1789" s="57"/>
      <c r="S1789" s="57"/>
      <c r="T1789" s="57"/>
      <c r="U1789" s="57"/>
      <c r="V1789" s="57"/>
      <c r="W1789" s="57"/>
      <c r="X1789" s="57"/>
      <c r="Y1789" s="57"/>
      <c r="Z1789" s="57"/>
      <c r="AA1789" s="57"/>
      <c r="AB1789" s="57"/>
      <c r="AC1789" s="57"/>
      <c r="AD1789" s="57"/>
      <c r="AE1789" s="57"/>
      <c r="AF1789" s="57"/>
    </row>
    <row r="1790" spans="1:32" x14ac:dyDescent="0.2">
      <c r="A1790" s="57"/>
      <c r="B1790" s="57"/>
      <c r="C1790" s="57"/>
      <c r="D1790" s="57"/>
      <c r="E1790" s="57"/>
      <c r="F1790" s="985"/>
      <c r="G1790" s="57"/>
      <c r="H1790" s="57"/>
      <c r="I1790" s="990"/>
      <c r="J1790" s="57"/>
      <c r="K1790" s="57"/>
      <c r="L1790" s="57"/>
      <c r="M1790" s="57"/>
      <c r="N1790" s="57"/>
      <c r="O1790" s="57"/>
      <c r="P1790" s="57"/>
      <c r="Q1790" s="57"/>
      <c r="R1790" s="57"/>
      <c r="S1790" s="57"/>
      <c r="T1790" s="57"/>
      <c r="U1790" s="57"/>
      <c r="V1790" s="57"/>
      <c r="W1790" s="57"/>
      <c r="X1790" s="57"/>
      <c r="Y1790" s="57"/>
      <c r="Z1790" s="57"/>
      <c r="AA1790" s="57"/>
      <c r="AB1790" s="57"/>
      <c r="AC1790" s="57"/>
      <c r="AD1790" s="57"/>
      <c r="AE1790" s="57"/>
      <c r="AF1790" s="57"/>
    </row>
    <row r="1791" spans="1:32" x14ac:dyDescent="0.2">
      <c r="A1791" s="57"/>
      <c r="B1791" s="57"/>
      <c r="C1791" s="57"/>
      <c r="D1791" s="57"/>
      <c r="E1791" s="57"/>
      <c r="F1791" s="985"/>
      <c r="G1791" s="57"/>
      <c r="H1791" s="57"/>
      <c r="I1791" s="990"/>
      <c r="J1791" s="57"/>
      <c r="K1791" s="57"/>
      <c r="L1791" s="57"/>
      <c r="M1791" s="57"/>
      <c r="N1791" s="57"/>
      <c r="O1791" s="57"/>
      <c r="P1791" s="57"/>
      <c r="Q1791" s="57"/>
      <c r="R1791" s="57"/>
      <c r="S1791" s="57"/>
      <c r="T1791" s="57"/>
      <c r="U1791" s="57"/>
      <c r="V1791" s="57"/>
      <c r="W1791" s="57"/>
      <c r="X1791" s="57"/>
      <c r="Y1791" s="57"/>
      <c r="Z1791" s="57"/>
      <c r="AA1791" s="57"/>
      <c r="AB1791" s="57"/>
      <c r="AC1791" s="57"/>
      <c r="AD1791" s="57"/>
      <c r="AE1791" s="57"/>
      <c r="AF1791" s="57"/>
    </row>
    <row r="1792" spans="1:32" x14ac:dyDescent="0.2">
      <c r="A1792" s="57"/>
      <c r="B1792" s="57"/>
      <c r="C1792" s="57"/>
      <c r="D1792" s="57"/>
      <c r="E1792" s="57"/>
      <c r="F1792" s="985"/>
      <c r="G1792" s="57"/>
      <c r="H1792" s="57"/>
      <c r="I1792" s="990"/>
      <c r="J1792" s="57"/>
      <c r="K1792" s="57"/>
      <c r="L1792" s="57"/>
      <c r="M1792" s="57"/>
      <c r="N1792" s="57"/>
      <c r="O1792" s="57"/>
      <c r="P1792" s="57"/>
      <c r="Q1792" s="57"/>
      <c r="R1792" s="57"/>
      <c r="S1792" s="57"/>
      <c r="T1792" s="57"/>
      <c r="U1792" s="57"/>
      <c r="V1792" s="57"/>
      <c r="W1792" s="57"/>
      <c r="X1792" s="57"/>
      <c r="Y1792" s="57"/>
      <c r="Z1792" s="57"/>
      <c r="AA1792" s="57"/>
      <c r="AB1792" s="57"/>
      <c r="AC1792" s="57"/>
      <c r="AD1792" s="57"/>
      <c r="AE1792" s="57"/>
      <c r="AF1792" s="57"/>
    </row>
    <row r="1793" spans="1:32" x14ac:dyDescent="0.2">
      <c r="A1793" s="57"/>
      <c r="B1793" s="57"/>
      <c r="C1793" s="57"/>
      <c r="D1793" s="57"/>
      <c r="E1793" s="57"/>
      <c r="F1793" s="985"/>
      <c r="G1793" s="57"/>
      <c r="H1793" s="57"/>
      <c r="I1793" s="990"/>
      <c r="J1793" s="57"/>
      <c r="K1793" s="57"/>
      <c r="L1793" s="57"/>
      <c r="M1793" s="57"/>
      <c r="N1793" s="57"/>
      <c r="O1793" s="57"/>
      <c r="P1793" s="57"/>
      <c r="Q1793" s="57"/>
      <c r="R1793" s="57"/>
      <c r="S1793" s="57"/>
      <c r="T1793" s="57"/>
      <c r="U1793" s="57"/>
      <c r="V1793" s="57"/>
      <c r="W1793" s="57"/>
      <c r="X1793" s="57"/>
      <c r="Y1793" s="57"/>
      <c r="Z1793" s="57"/>
      <c r="AA1793" s="57"/>
      <c r="AB1793" s="57"/>
      <c r="AC1793" s="57"/>
      <c r="AD1793" s="57"/>
      <c r="AE1793" s="57"/>
      <c r="AF1793" s="57"/>
    </row>
    <row r="1794" spans="1:32" x14ac:dyDescent="0.2">
      <c r="A1794" s="57"/>
      <c r="B1794" s="57"/>
      <c r="C1794" s="57"/>
      <c r="D1794" s="57"/>
      <c r="E1794" s="57"/>
      <c r="F1794" s="985"/>
      <c r="G1794" s="57"/>
      <c r="H1794" s="57"/>
      <c r="I1794" s="990"/>
      <c r="J1794" s="57"/>
      <c r="K1794" s="57"/>
      <c r="L1794" s="57"/>
      <c r="M1794" s="57"/>
      <c r="N1794" s="57"/>
      <c r="O1794" s="57"/>
      <c r="P1794" s="57"/>
      <c r="Q1794" s="57"/>
      <c r="R1794" s="57"/>
      <c r="S1794" s="57"/>
      <c r="T1794" s="57"/>
      <c r="U1794" s="57"/>
      <c r="V1794" s="57"/>
      <c r="W1794" s="57"/>
      <c r="X1794" s="57"/>
      <c r="Y1794" s="57"/>
      <c r="Z1794" s="57"/>
      <c r="AA1794" s="57"/>
      <c r="AB1794" s="57"/>
      <c r="AC1794" s="57"/>
      <c r="AD1794" s="57"/>
      <c r="AE1794" s="57"/>
      <c r="AF1794" s="57"/>
    </row>
    <row r="1795" spans="1:32" x14ac:dyDescent="0.2">
      <c r="A1795" s="57"/>
      <c r="B1795" s="57"/>
      <c r="C1795" s="57"/>
      <c r="D1795" s="57"/>
      <c r="E1795" s="57"/>
      <c r="F1795" s="985"/>
      <c r="G1795" s="57"/>
      <c r="H1795" s="57"/>
      <c r="I1795" s="990"/>
      <c r="J1795" s="57"/>
      <c r="K1795" s="57"/>
      <c r="L1795" s="57"/>
      <c r="M1795" s="57"/>
      <c r="N1795" s="57"/>
      <c r="O1795" s="57"/>
      <c r="P1795" s="57"/>
      <c r="Q1795" s="57"/>
      <c r="R1795" s="57"/>
      <c r="S1795" s="57"/>
      <c r="T1795" s="57"/>
      <c r="U1795" s="57"/>
      <c r="V1795" s="57"/>
      <c r="W1795" s="57"/>
      <c r="X1795" s="57"/>
      <c r="Y1795" s="57"/>
      <c r="Z1795" s="57"/>
      <c r="AA1795" s="57"/>
      <c r="AB1795" s="57"/>
      <c r="AC1795" s="57"/>
      <c r="AD1795" s="57"/>
      <c r="AE1795" s="57"/>
      <c r="AF1795" s="57"/>
    </row>
    <row r="1796" spans="1:32" x14ac:dyDescent="0.2">
      <c r="A1796" s="57"/>
      <c r="B1796" s="57"/>
      <c r="C1796" s="57"/>
      <c r="D1796" s="57"/>
      <c r="E1796" s="57"/>
      <c r="F1796" s="985"/>
      <c r="G1796" s="57"/>
      <c r="H1796" s="57"/>
      <c r="I1796" s="990"/>
      <c r="J1796" s="57"/>
      <c r="K1796" s="57"/>
      <c r="L1796" s="57"/>
      <c r="M1796" s="57"/>
      <c r="N1796" s="57"/>
      <c r="O1796" s="57"/>
      <c r="P1796" s="57"/>
      <c r="Q1796" s="57"/>
      <c r="R1796" s="57"/>
      <c r="S1796" s="57"/>
      <c r="T1796" s="57"/>
      <c r="U1796" s="57"/>
      <c r="V1796" s="57"/>
      <c r="W1796" s="57"/>
      <c r="X1796" s="57"/>
      <c r="Y1796" s="57"/>
      <c r="Z1796" s="57"/>
      <c r="AA1796" s="57"/>
      <c r="AB1796" s="57"/>
      <c r="AC1796" s="57"/>
      <c r="AD1796" s="57"/>
      <c r="AE1796" s="57"/>
      <c r="AF1796" s="57"/>
    </row>
    <row r="1797" spans="1:32" x14ac:dyDescent="0.2">
      <c r="A1797" s="57"/>
      <c r="B1797" s="57"/>
      <c r="C1797" s="57"/>
      <c r="D1797" s="57"/>
      <c r="E1797" s="57"/>
      <c r="F1797" s="985"/>
      <c r="G1797" s="57"/>
      <c r="H1797" s="57"/>
      <c r="I1797" s="990"/>
      <c r="J1797" s="57"/>
      <c r="K1797" s="57"/>
      <c r="L1797" s="57"/>
      <c r="M1797" s="57"/>
      <c r="N1797" s="57"/>
      <c r="O1797" s="57"/>
      <c r="P1797" s="57"/>
      <c r="Q1797" s="57"/>
      <c r="R1797" s="57"/>
      <c r="S1797" s="57"/>
      <c r="T1797" s="57"/>
      <c r="U1797" s="57"/>
      <c r="V1797" s="57"/>
      <c r="W1797" s="57"/>
      <c r="X1797" s="57"/>
      <c r="Y1797" s="57"/>
      <c r="Z1797" s="57"/>
      <c r="AA1797" s="57"/>
      <c r="AB1797" s="57"/>
      <c r="AC1797" s="57"/>
      <c r="AD1797" s="57"/>
      <c r="AE1797" s="57"/>
      <c r="AF1797" s="57"/>
    </row>
    <row r="1798" spans="1:32" x14ac:dyDescent="0.2">
      <c r="A1798" s="57"/>
      <c r="B1798" s="57"/>
      <c r="C1798" s="57"/>
      <c r="D1798" s="57"/>
      <c r="E1798" s="57"/>
      <c r="F1798" s="985"/>
      <c r="G1798" s="57"/>
      <c r="H1798" s="57"/>
      <c r="I1798" s="990"/>
      <c r="J1798" s="57"/>
      <c r="K1798" s="57"/>
      <c r="L1798" s="57"/>
      <c r="M1798" s="57"/>
      <c r="N1798" s="57"/>
      <c r="O1798" s="57"/>
      <c r="P1798" s="57"/>
      <c r="Q1798" s="57"/>
      <c r="R1798" s="57"/>
      <c r="S1798" s="57"/>
      <c r="T1798" s="57"/>
      <c r="U1798" s="57"/>
      <c r="V1798" s="57"/>
      <c r="W1798" s="57"/>
      <c r="X1798" s="57"/>
      <c r="Y1798" s="57"/>
      <c r="Z1798" s="57"/>
      <c r="AA1798" s="57"/>
      <c r="AB1798" s="57"/>
      <c r="AC1798" s="57"/>
      <c r="AD1798" s="57"/>
      <c r="AE1798" s="57"/>
      <c r="AF1798" s="57"/>
    </row>
    <row r="1799" spans="1:32" x14ac:dyDescent="0.2">
      <c r="A1799" s="57"/>
      <c r="B1799" s="57"/>
      <c r="C1799" s="57"/>
      <c r="D1799" s="57"/>
      <c r="E1799" s="57"/>
      <c r="F1799" s="985"/>
      <c r="G1799" s="57"/>
      <c r="H1799" s="57"/>
      <c r="I1799" s="990"/>
      <c r="J1799" s="57"/>
      <c r="K1799" s="57"/>
      <c r="L1799" s="57"/>
      <c r="M1799" s="57"/>
      <c r="N1799" s="57"/>
      <c r="O1799" s="57"/>
      <c r="P1799" s="57"/>
      <c r="Q1799" s="57"/>
      <c r="R1799" s="57"/>
      <c r="S1799" s="57"/>
      <c r="T1799" s="57"/>
      <c r="U1799" s="57"/>
      <c r="V1799" s="57"/>
      <c r="W1799" s="57"/>
      <c r="X1799" s="57"/>
      <c r="Y1799" s="57"/>
      <c r="Z1799" s="57"/>
      <c r="AA1799" s="57"/>
      <c r="AB1799" s="57"/>
      <c r="AC1799" s="57"/>
      <c r="AD1799" s="57"/>
      <c r="AE1799" s="57"/>
      <c r="AF1799" s="57"/>
    </row>
    <row r="1800" spans="1:32" x14ac:dyDescent="0.2">
      <c r="A1800" s="57"/>
      <c r="B1800" s="57"/>
      <c r="C1800" s="57"/>
      <c r="D1800" s="57"/>
      <c r="E1800" s="57"/>
      <c r="F1800" s="985"/>
      <c r="G1800" s="57"/>
      <c r="H1800" s="57"/>
      <c r="I1800" s="990"/>
      <c r="J1800" s="57"/>
      <c r="K1800" s="57"/>
      <c r="L1800" s="57"/>
      <c r="M1800" s="57"/>
      <c r="N1800" s="57"/>
      <c r="O1800" s="57"/>
      <c r="P1800" s="57"/>
      <c r="Q1800" s="57"/>
      <c r="R1800" s="57"/>
      <c r="S1800" s="57"/>
      <c r="T1800" s="57"/>
      <c r="U1800" s="57"/>
      <c r="V1800" s="57"/>
      <c r="W1800" s="57"/>
      <c r="X1800" s="57"/>
      <c r="Y1800" s="57"/>
      <c r="Z1800" s="57"/>
      <c r="AA1800" s="57"/>
      <c r="AB1800" s="57"/>
      <c r="AC1800" s="57"/>
      <c r="AD1800" s="57"/>
      <c r="AE1800" s="57"/>
      <c r="AF1800" s="57"/>
    </row>
    <row r="1801" spans="1:32" x14ac:dyDescent="0.2">
      <c r="A1801" s="57"/>
      <c r="B1801" s="57"/>
      <c r="C1801" s="57"/>
      <c r="D1801" s="57"/>
      <c r="E1801" s="57"/>
      <c r="F1801" s="985"/>
      <c r="G1801" s="57"/>
      <c r="H1801" s="57"/>
      <c r="I1801" s="990"/>
      <c r="J1801" s="57"/>
      <c r="K1801" s="57"/>
      <c r="L1801" s="57"/>
      <c r="M1801" s="57"/>
      <c r="N1801" s="57"/>
      <c r="O1801" s="57"/>
      <c r="P1801" s="57"/>
      <c r="Q1801" s="57"/>
      <c r="R1801" s="57"/>
      <c r="S1801" s="57"/>
      <c r="T1801" s="57"/>
      <c r="U1801" s="57"/>
      <c r="V1801" s="57"/>
      <c r="W1801" s="57"/>
      <c r="X1801" s="57"/>
      <c r="Y1801" s="57"/>
      <c r="Z1801" s="57"/>
      <c r="AA1801" s="57"/>
      <c r="AB1801" s="57"/>
      <c r="AC1801" s="57"/>
      <c r="AD1801" s="57"/>
      <c r="AE1801" s="57"/>
      <c r="AF1801" s="57"/>
    </row>
    <row r="1802" spans="1:32" x14ac:dyDescent="0.2">
      <c r="A1802" s="57"/>
      <c r="B1802" s="57"/>
      <c r="C1802" s="57"/>
      <c r="D1802" s="57"/>
      <c r="E1802" s="57"/>
      <c r="F1802" s="985"/>
      <c r="G1802" s="57"/>
      <c r="H1802" s="57"/>
      <c r="I1802" s="990"/>
      <c r="J1802" s="57"/>
      <c r="K1802" s="57"/>
      <c r="L1802" s="57"/>
      <c r="M1802" s="57"/>
      <c r="N1802" s="57"/>
      <c r="O1802" s="57"/>
      <c r="P1802" s="57"/>
      <c r="Q1802" s="57"/>
      <c r="R1802" s="57"/>
      <c r="S1802" s="57"/>
      <c r="T1802" s="57"/>
      <c r="U1802" s="57"/>
      <c r="V1802" s="57"/>
      <c r="W1802" s="57"/>
      <c r="X1802" s="57"/>
      <c r="Y1802" s="57"/>
      <c r="Z1802" s="57"/>
      <c r="AA1802" s="57"/>
      <c r="AB1802" s="57"/>
      <c r="AC1802" s="57"/>
      <c r="AD1802" s="57"/>
      <c r="AE1802" s="57"/>
      <c r="AF1802" s="57"/>
    </row>
    <row r="1803" spans="1:32" x14ac:dyDescent="0.2">
      <c r="A1803" s="57"/>
      <c r="B1803" s="57"/>
      <c r="C1803" s="57"/>
      <c r="D1803" s="57"/>
      <c r="E1803" s="57"/>
      <c r="F1803" s="985"/>
      <c r="G1803" s="57"/>
      <c r="H1803" s="57"/>
      <c r="I1803" s="990"/>
      <c r="J1803" s="57"/>
      <c r="K1803" s="57"/>
      <c r="L1803" s="57"/>
      <c r="M1803" s="57"/>
      <c r="N1803" s="57"/>
      <c r="O1803" s="57"/>
      <c r="P1803" s="57"/>
      <c r="Q1803" s="57"/>
      <c r="R1803" s="57"/>
      <c r="S1803" s="57"/>
      <c r="T1803" s="57"/>
      <c r="U1803" s="57"/>
      <c r="V1803" s="57"/>
      <c r="W1803" s="57"/>
      <c r="X1803" s="57"/>
      <c r="Y1803" s="57"/>
      <c r="Z1803" s="57"/>
      <c r="AA1803" s="57"/>
      <c r="AB1803" s="57"/>
      <c r="AC1803" s="57"/>
      <c r="AD1803" s="57"/>
      <c r="AE1803" s="57"/>
      <c r="AF1803" s="57"/>
    </row>
    <row r="1804" spans="1:32" x14ac:dyDescent="0.2">
      <c r="A1804" s="57"/>
      <c r="B1804" s="57"/>
      <c r="C1804" s="57"/>
      <c r="D1804" s="57"/>
      <c r="E1804" s="57"/>
      <c r="F1804" s="985"/>
      <c r="G1804" s="57"/>
      <c r="H1804" s="57"/>
      <c r="I1804" s="990"/>
      <c r="J1804" s="57"/>
      <c r="K1804" s="57"/>
      <c r="L1804" s="57"/>
      <c r="M1804" s="57"/>
      <c r="N1804" s="57"/>
      <c r="O1804" s="57"/>
      <c r="P1804" s="57"/>
      <c r="Q1804" s="57"/>
      <c r="R1804" s="57"/>
      <c r="S1804" s="57"/>
      <c r="T1804" s="57"/>
      <c r="U1804" s="57"/>
      <c r="V1804" s="57"/>
      <c r="W1804" s="57"/>
      <c r="X1804" s="57"/>
      <c r="Y1804" s="57"/>
      <c r="Z1804" s="57"/>
      <c r="AA1804" s="57"/>
      <c r="AB1804" s="57"/>
      <c r="AC1804" s="57"/>
      <c r="AD1804" s="57"/>
      <c r="AE1804" s="57"/>
      <c r="AF1804" s="57"/>
    </row>
    <row r="1805" spans="1:32" x14ac:dyDescent="0.2">
      <c r="A1805" s="57"/>
      <c r="B1805" s="57"/>
      <c r="C1805" s="57"/>
      <c r="D1805" s="57"/>
      <c r="E1805" s="57"/>
      <c r="F1805" s="985"/>
      <c r="G1805" s="57"/>
      <c r="H1805" s="57"/>
      <c r="I1805" s="990"/>
      <c r="J1805" s="57"/>
      <c r="K1805" s="57"/>
      <c r="L1805" s="57"/>
      <c r="M1805" s="57"/>
      <c r="N1805" s="57"/>
      <c r="O1805" s="57"/>
      <c r="P1805" s="57"/>
      <c r="Q1805" s="57"/>
      <c r="R1805" s="57"/>
      <c r="S1805" s="57"/>
      <c r="T1805" s="57"/>
      <c r="U1805" s="57"/>
      <c r="V1805" s="57"/>
      <c r="W1805" s="57"/>
      <c r="X1805" s="57"/>
      <c r="Y1805" s="57"/>
      <c r="Z1805" s="57"/>
      <c r="AA1805" s="57"/>
      <c r="AB1805" s="57"/>
      <c r="AC1805" s="57"/>
      <c r="AD1805" s="57"/>
      <c r="AE1805" s="57"/>
      <c r="AF1805" s="57"/>
    </row>
    <row r="1806" spans="1:32" x14ac:dyDescent="0.2">
      <c r="A1806" s="57"/>
      <c r="B1806" s="57"/>
      <c r="C1806" s="57"/>
      <c r="D1806" s="57"/>
      <c r="E1806" s="57"/>
      <c r="F1806" s="985"/>
      <c r="G1806" s="57"/>
      <c r="H1806" s="57"/>
      <c r="I1806" s="990"/>
      <c r="J1806" s="57"/>
      <c r="K1806" s="57"/>
      <c r="L1806" s="57"/>
      <c r="M1806" s="57"/>
      <c r="N1806" s="57"/>
      <c r="O1806" s="57"/>
      <c r="P1806" s="57"/>
      <c r="Q1806" s="57"/>
      <c r="R1806" s="57"/>
      <c r="S1806" s="57"/>
      <c r="T1806" s="57"/>
      <c r="U1806" s="57"/>
      <c r="V1806" s="57"/>
      <c r="W1806" s="57"/>
      <c r="X1806" s="57"/>
      <c r="Y1806" s="57"/>
      <c r="Z1806" s="57"/>
      <c r="AA1806" s="57"/>
      <c r="AB1806" s="57"/>
      <c r="AC1806" s="57"/>
      <c r="AD1806" s="57"/>
      <c r="AE1806" s="57"/>
      <c r="AF1806" s="57"/>
    </row>
    <row r="1807" spans="1:32" x14ac:dyDescent="0.2">
      <c r="A1807" s="57"/>
      <c r="B1807" s="57"/>
      <c r="C1807" s="57"/>
      <c r="D1807" s="57"/>
      <c r="E1807" s="57"/>
      <c r="F1807" s="985"/>
      <c r="G1807" s="57"/>
      <c r="H1807" s="57"/>
      <c r="I1807" s="990"/>
      <c r="J1807" s="57"/>
      <c r="K1807" s="57"/>
      <c r="L1807" s="57"/>
      <c r="M1807" s="57"/>
      <c r="N1807" s="57"/>
      <c r="O1807" s="57"/>
      <c r="P1807" s="57"/>
      <c r="Q1807" s="57"/>
      <c r="R1807" s="57"/>
      <c r="S1807" s="57"/>
      <c r="T1807" s="57"/>
      <c r="U1807" s="57"/>
      <c r="V1807" s="57"/>
      <c r="W1807" s="57"/>
      <c r="X1807" s="57"/>
      <c r="Y1807" s="57"/>
      <c r="Z1807" s="57"/>
      <c r="AA1807" s="57"/>
      <c r="AB1807" s="57"/>
      <c r="AC1807" s="57"/>
      <c r="AD1807" s="57"/>
      <c r="AE1807" s="57"/>
      <c r="AF1807" s="57"/>
    </row>
    <row r="1808" spans="1:32" x14ac:dyDescent="0.2">
      <c r="A1808" s="57"/>
      <c r="B1808" s="57"/>
      <c r="C1808" s="57"/>
      <c r="D1808" s="57"/>
      <c r="E1808" s="57"/>
      <c r="F1808" s="985"/>
      <c r="G1808" s="57"/>
      <c r="H1808" s="57"/>
      <c r="I1808" s="990"/>
      <c r="J1808" s="57"/>
      <c r="K1808" s="57"/>
      <c r="L1808" s="57"/>
      <c r="M1808" s="57"/>
      <c r="N1808" s="57"/>
      <c r="O1808" s="57"/>
      <c r="P1808" s="57"/>
      <c r="Q1808" s="57"/>
      <c r="R1808" s="57"/>
      <c r="S1808" s="57"/>
      <c r="T1808" s="57"/>
      <c r="U1808" s="57"/>
      <c r="V1808" s="57"/>
      <c r="W1808" s="57"/>
      <c r="X1808" s="57"/>
      <c r="Y1808" s="57"/>
      <c r="Z1808" s="57"/>
      <c r="AA1808" s="57"/>
      <c r="AB1808" s="57"/>
      <c r="AC1808" s="57"/>
      <c r="AD1808" s="57"/>
      <c r="AE1808" s="57"/>
      <c r="AF1808" s="57"/>
    </row>
    <row r="1809" spans="1:32" x14ac:dyDescent="0.2">
      <c r="A1809" s="57"/>
      <c r="B1809" s="57"/>
      <c r="C1809" s="57"/>
      <c r="D1809" s="57"/>
      <c r="E1809" s="57"/>
      <c r="F1809" s="985"/>
      <c r="G1809" s="57"/>
      <c r="H1809" s="57"/>
      <c r="I1809" s="990"/>
      <c r="J1809" s="57"/>
      <c r="K1809" s="57"/>
      <c r="L1809" s="57"/>
      <c r="M1809" s="57"/>
      <c r="N1809" s="57"/>
      <c r="O1809" s="57"/>
      <c r="P1809" s="57"/>
      <c r="Q1809" s="57"/>
      <c r="R1809" s="57"/>
      <c r="S1809" s="57"/>
      <c r="T1809" s="57"/>
      <c r="U1809" s="57"/>
      <c r="V1809" s="57"/>
      <c r="W1809" s="57"/>
      <c r="X1809" s="57"/>
      <c r="Y1809" s="57"/>
      <c r="Z1809" s="57"/>
      <c r="AA1809" s="57"/>
      <c r="AB1809" s="57"/>
      <c r="AC1809" s="57"/>
      <c r="AD1809" s="57"/>
      <c r="AE1809" s="57"/>
      <c r="AF1809" s="57"/>
    </row>
    <row r="1810" spans="1:32" x14ac:dyDescent="0.2">
      <c r="A1810" s="57"/>
      <c r="B1810" s="57"/>
      <c r="C1810" s="57"/>
      <c r="D1810" s="57"/>
      <c r="E1810" s="57"/>
      <c r="F1810" s="985"/>
      <c r="G1810" s="57"/>
      <c r="H1810" s="57"/>
      <c r="I1810" s="990"/>
      <c r="J1810" s="57"/>
      <c r="K1810" s="57"/>
      <c r="L1810" s="57"/>
      <c r="M1810" s="57"/>
      <c r="N1810" s="57"/>
      <c r="O1810" s="57"/>
      <c r="P1810" s="57"/>
      <c r="Q1810" s="57"/>
      <c r="R1810" s="57"/>
      <c r="S1810" s="57"/>
      <c r="T1810" s="57"/>
      <c r="U1810" s="57"/>
      <c r="V1810" s="57"/>
      <c r="W1810" s="57"/>
      <c r="X1810" s="57"/>
      <c r="Y1810" s="57"/>
      <c r="Z1810" s="57"/>
      <c r="AA1810" s="57"/>
      <c r="AB1810" s="57"/>
      <c r="AC1810" s="57"/>
      <c r="AD1810" s="57"/>
      <c r="AE1810" s="57"/>
      <c r="AF1810" s="57"/>
    </row>
    <row r="1811" spans="1:32" x14ac:dyDescent="0.2">
      <c r="A1811" s="57"/>
      <c r="B1811" s="57"/>
      <c r="C1811" s="57"/>
      <c r="D1811" s="57"/>
      <c r="E1811" s="57"/>
      <c r="F1811" s="985"/>
      <c r="G1811" s="57"/>
      <c r="H1811" s="57"/>
      <c r="I1811" s="990"/>
      <c r="J1811" s="57"/>
      <c r="K1811" s="57"/>
      <c r="L1811" s="57"/>
      <c r="M1811" s="57"/>
      <c r="N1811" s="57"/>
      <c r="O1811" s="57"/>
      <c r="P1811" s="57"/>
      <c r="Q1811" s="57"/>
      <c r="R1811" s="57"/>
      <c r="S1811" s="57"/>
      <c r="T1811" s="57"/>
      <c r="U1811" s="57"/>
      <c r="V1811" s="57"/>
      <c r="W1811" s="57"/>
      <c r="X1811" s="57"/>
      <c r="Y1811" s="57"/>
      <c r="Z1811" s="57"/>
      <c r="AA1811" s="57"/>
      <c r="AB1811" s="57"/>
      <c r="AC1811" s="57"/>
      <c r="AD1811" s="57"/>
      <c r="AE1811" s="57"/>
      <c r="AF1811" s="57"/>
    </row>
    <row r="1812" spans="1:32" x14ac:dyDescent="0.2">
      <c r="A1812" s="57"/>
      <c r="B1812" s="57"/>
      <c r="C1812" s="57"/>
      <c r="D1812" s="57"/>
      <c r="E1812" s="57"/>
      <c r="F1812" s="985"/>
      <c r="G1812" s="57"/>
      <c r="H1812" s="57"/>
      <c r="I1812" s="990"/>
      <c r="J1812" s="57"/>
      <c r="K1812" s="57"/>
      <c r="L1812" s="57"/>
      <c r="M1812" s="57"/>
      <c r="N1812" s="57"/>
      <c r="O1812" s="57"/>
      <c r="P1812" s="57"/>
      <c r="Q1812" s="57"/>
      <c r="R1812" s="57"/>
      <c r="S1812" s="57"/>
      <c r="T1812" s="57"/>
      <c r="U1812" s="57"/>
      <c r="V1812" s="57"/>
      <c r="W1812" s="57"/>
      <c r="X1812" s="57"/>
      <c r="Y1812" s="57"/>
      <c r="Z1812" s="57"/>
      <c r="AA1812" s="57"/>
      <c r="AB1812" s="57"/>
      <c r="AC1812" s="57"/>
      <c r="AD1812" s="57"/>
      <c r="AE1812" s="57"/>
      <c r="AF1812" s="57"/>
    </row>
    <row r="1813" spans="1:32" x14ac:dyDescent="0.2">
      <c r="A1813" s="57"/>
      <c r="B1813" s="57"/>
      <c r="C1813" s="57"/>
      <c r="D1813" s="57"/>
      <c r="E1813" s="57"/>
      <c r="F1813" s="985"/>
      <c r="G1813" s="57"/>
      <c r="H1813" s="57"/>
      <c r="I1813" s="990"/>
      <c r="J1813" s="57"/>
      <c r="K1813" s="57"/>
      <c r="L1813" s="57"/>
      <c r="M1813" s="57"/>
      <c r="N1813" s="57"/>
      <c r="O1813" s="57"/>
      <c r="P1813" s="57"/>
      <c r="Q1813" s="57"/>
      <c r="R1813" s="57"/>
      <c r="S1813" s="57"/>
      <c r="T1813" s="57"/>
      <c r="U1813" s="57"/>
      <c r="V1813" s="57"/>
      <c r="W1813" s="57"/>
      <c r="X1813" s="57"/>
      <c r="Y1813" s="57"/>
      <c r="Z1813" s="57"/>
      <c r="AA1813" s="57"/>
      <c r="AB1813" s="57"/>
      <c r="AC1813" s="57"/>
      <c r="AD1813" s="57"/>
      <c r="AE1813" s="57"/>
      <c r="AF1813" s="57"/>
    </row>
    <row r="1814" spans="1:32" x14ac:dyDescent="0.2">
      <c r="A1814" s="57"/>
      <c r="B1814" s="57"/>
      <c r="C1814" s="57"/>
      <c r="D1814" s="57"/>
      <c r="E1814" s="57"/>
      <c r="F1814" s="985"/>
      <c r="G1814" s="57"/>
      <c r="H1814" s="57"/>
      <c r="I1814" s="990"/>
      <c r="J1814" s="57"/>
      <c r="K1814" s="57"/>
      <c r="L1814" s="57"/>
      <c r="M1814" s="57"/>
      <c r="N1814" s="57"/>
      <c r="O1814" s="57"/>
      <c r="P1814" s="57"/>
      <c r="Q1814" s="57"/>
      <c r="R1814" s="57"/>
      <c r="S1814" s="57"/>
      <c r="T1814" s="57"/>
      <c r="U1814" s="57"/>
      <c r="V1814" s="57"/>
      <c r="W1814" s="57"/>
      <c r="X1814" s="57"/>
      <c r="Y1814" s="57"/>
      <c r="Z1814" s="57"/>
      <c r="AA1814" s="57"/>
      <c r="AB1814" s="57"/>
      <c r="AC1814" s="57"/>
      <c r="AD1814" s="57"/>
      <c r="AE1814" s="57"/>
      <c r="AF1814" s="57"/>
    </row>
    <row r="1815" spans="1:32" x14ac:dyDescent="0.2">
      <c r="A1815" s="57"/>
      <c r="B1815" s="57"/>
      <c r="C1815" s="57"/>
      <c r="D1815" s="57"/>
      <c r="E1815" s="57"/>
      <c r="F1815" s="985"/>
      <c r="G1815" s="57"/>
      <c r="H1815" s="57"/>
      <c r="I1815" s="990"/>
      <c r="J1815" s="57"/>
      <c r="K1815" s="57"/>
      <c r="L1815" s="57"/>
      <c r="M1815" s="57"/>
      <c r="N1815" s="57"/>
      <c r="O1815" s="57"/>
      <c r="P1815" s="57"/>
      <c r="Q1815" s="57"/>
      <c r="R1815" s="57"/>
      <c r="S1815" s="57"/>
      <c r="T1815" s="57"/>
      <c r="U1815" s="57"/>
      <c r="V1815" s="57"/>
      <c r="W1815" s="57"/>
      <c r="X1815" s="57"/>
      <c r="Y1815" s="57"/>
      <c r="Z1815" s="57"/>
      <c r="AA1815" s="57"/>
      <c r="AB1815" s="57"/>
      <c r="AC1815" s="57"/>
      <c r="AD1815" s="57"/>
      <c r="AE1815" s="57"/>
      <c r="AF1815" s="57"/>
    </row>
    <row r="1816" spans="1:32" x14ac:dyDescent="0.2">
      <c r="A1816" s="57"/>
      <c r="B1816" s="57"/>
      <c r="C1816" s="57"/>
      <c r="D1816" s="57"/>
      <c r="E1816" s="57"/>
      <c r="F1816" s="985"/>
      <c r="G1816" s="57"/>
      <c r="H1816" s="57"/>
      <c r="I1816" s="990"/>
      <c r="J1816" s="57"/>
      <c r="K1816" s="57"/>
      <c r="L1816" s="57"/>
      <c r="M1816" s="57"/>
      <c r="N1816" s="57"/>
      <c r="O1816" s="57"/>
      <c r="P1816" s="57"/>
      <c r="Q1816" s="57"/>
      <c r="R1816" s="57"/>
      <c r="S1816" s="57"/>
      <c r="T1816" s="57"/>
      <c r="U1816" s="57"/>
      <c r="V1816" s="57"/>
      <c r="W1816" s="57"/>
      <c r="X1816" s="57"/>
      <c r="Y1816" s="57"/>
      <c r="Z1816" s="57"/>
      <c r="AA1816" s="57"/>
      <c r="AB1816" s="57"/>
      <c r="AC1816" s="57"/>
      <c r="AD1816" s="57"/>
      <c r="AE1816" s="57"/>
      <c r="AF1816" s="57"/>
    </row>
    <row r="1817" spans="1:32" x14ac:dyDescent="0.2">
      <c r="A1817" s="57"/>
      <c r="B1817" s="57"/>
      <c r="C1817" s="57"/>
      <c r="D1817" s="57"/>
      <c r="E1817" s="57"/>
      <c r="F1817" s="985"/>
      <c r="G1817" s="57"/>
      <c r="H1817" s="57"/>
      <c r="I1817" s="990"/>
      <c r="J1817" s="57"/>
      <c r="K1817" s="57"/>
      <c r="L1817" s="57"/>
      <c r="M1817" s="57"/>
      <c r="N1817" s="57"/>
      <c r="O1817" s="57"/>
      <c r="P1817" s="57"/>
      <c r="Q1817" s="57"/>
      <c r="R1817" s="57"/>
      <c r="S1817" s="57"/>
      <c r="T1817" s="57"/>
      <c r="U1817" s="57"/>
      <c r="V1817" s="57"/>
      <c r="W1817" s="57"/>
      <c r="X1817" s="57"/>
      <c r="Y1817" s="57"/>
      <c r="Z1817" s="57"/>
      <c r="AA1817" s="57"/>
      <c r="AB1817" s="57"/>
      <c r="AC1817" s="57"/>
      <c r="AD1817" s="57"/>
      <c r="AE1817" s="57"/>
      <c r="AF1817" s="57"/>
    </row>
    <row r="1818" spans="1:32" x14ac:dyDescent="0.2">
      <c r="A1818" s="57"/>
      <c r="B1818" s="57"/>
      <c r="C1818" s="57"/>
      <c r="D1818" s="57"/>
      <c r="E1818" s="57"/>
      <c r="F1818" s="985"/>
      <c r="G1818" s="57"/>
      <c r="H1818" s="57"/>
      <c r="I1818" s="990"/>
      <c r="J1818" s="57"/>
      <c r="K1818" s="57"/>
      <c r="L1818" s="57"/>
      <c r="M1818" s="57"/>
      <c r="N1818" s="57"/>
      <c r="O1818" s="57"/>
      <c r="P1818" s="57"/>
      <c r="Q1818" s="57"/>
      <c r="R1818" s="57"/>
      <c r="S1818" s="57"/>
      <c r="T1818" s="57"/>
      <c r="U1818" s="57"/>
      <c r="V1818" s="57"/>
      <c r="W1818" s="57"/>
      <c r="X1818" s="57"/>
      <c r="Y1818" s="57"/>
      <c r="Z1818" s="57"/>
      <c r="AA1818" s="57"/>
      <c r="AB1818" s="57"/>
      <c r="AC1818" s="57"/>
      <c r="AD1818" s="57"/>
      <c r="AE1818" s="57"/>
      <c r="AF1818" s="57"/>
    </row>
    <row r="1819" spans="1:32" x14ac:dyDescent="0.2">
      <c r="A1819" s="57"/>
      <c r="B1819" s="57"/>
      <c r="C1819" s="57"/>
      <c r="D1819" s="57"/>
      <c r="E1819" s="57"/>
      <c r="F1819" s="985"/>
      <c r="G1819" s="57"/>
      <c r="H1819" s="57"/>
      <c r="I1819" s="990"/>
      <c r="J1819" s="57"/>
      <c r="K1819" s="57"/>
      <c r="L1819" s="57"/>
      <c r="M1819" s="57"/>
      <c r="N1819" s="57"/>
      <c r="O1819" s="57"/>
      <c r="P1819" s="57"/>
      <c r="Q1819" s="57"/>
      <c r="R1819" s="57"/>
      <c r="S1819" s="57"/>
      <c r="T1819" s="57"/>
      <c r="U1819" s="57"/>
      <c r="V1819" s="57"/>
      <c r="W1819" s="57"/>
      <c r="X1819" s="57"/>
      <c r="Y1819" s="57"/>
      <c r="Z1819" s="57"/>
      <c r="AA1819" s="57"/>
      <c r="AB1819" s="57"/>
      <c r="AC1819" s="57"/>
      <c r="AD1819" s="57"/>
      <c r="AE1819" s="57"/>
      <c r="AF1819" s="57"/>
    </row>
    <row r="1820" spans="1:32" x14ac:dyDescent="0.2">
      <c r="A1820" s="57"/>
      <c r="B1820" s="57"/>
      <c r="C1820" s="57"/>
      <c r="D1820" s="57"/>
      <c r="E1820" s="57"/>
      <c r="F1820" s="985"/>
      <c r="G1820" s="57"/>
      <c r="H1820" s="57"/>
      <c r="I1820" s="990"/>
      <c r="J1820" s="57"/>
      <c r="K1820" s="57"/>
      <c r="L1820" s="57"/>
      <c r="M1820" s="57"/>
      <c r="N1820" s="57"/>
      <c r="O1820" s="57"/>
      <c r="P1820" s="57"/>
      <c r="Q1820" s="57"/>
      <c r="R1820" s="57"/>
      <c r="S1820" s="57"/>
      <c r="T1820" s="57"/>
      <c r="U1820" s="57"/>
      <c r="V1820" s="57"/>
      <c r="W1820" s="57"/>
      <c r="X1820" s="57"/>
      <c r="Y1820" s="57"/>
      <c r="Z1820" s="57"/>
      <c r="AA1820" s="57"/>
      <c r="AB1820" s="57"/>
      <c r="AC1820" s="57"/>
      <c r="AD1820" s="57"/>
      <c r="AE1820" s="57"/>
      <c r="AF1820" s="57"/>
    </row>
    <row r="1821" spans="1:32" x14ac:dyDescent="0.2">
      <c r="A1821" s="57"/>
      <c r="B1821" s="57"/>
      <c r="C1821" s="57"/>
      <c r="D1821" s="57"/>
      <c r="E1821" s="57"/>
      <c r="F1821" s="985"/>
      <c r="G1821" s="57"/>
      <c r="H1821" s="57"/>
      <c r="I1821" s="990"/>
      <c r="J1821" s="57"/>
      <c r="K1821" s="57"/>
      <c r="L1821" s="57"/>
      <c r="M1821" s="57"/>
      <c r="N1821" s="57"/>
      <c r="O1821" s="57"/>
      <c r="P1821" s="57"/>
      <c r="Q1821" s="57"/>
      <c r="R1821" s="57"/>
      <c r="S1821" s="57"/>
      <c r="T1821" s="57"/>
      <c r="U1821" s="57"/>
      <c r="V1821" s="57"/>
      <c r="W1821" s="57"/>
      <c r="X1821" s="57"/>
      <c r="Y1821" s="57"/>
      <c r="Z1821" s="57"/>
      <c r="AA1821" s="57"/>
      <c r="AB1821" s="57"/>
      <c r="AC1821" s="57"/>
      <c r="AD1821" s="57"/>
      <c r="AE1821" s="57"/>
      <c r="AF1821" s="57"/>
    </row>
    <row r="1822" spans="1:32" x14ac:dyDescent="0.2">
      <c r="A1822" s="57"/>
      <c r="B1822" s="57"/>
      <c r="C1822" s="57"/>
      <c r="D1822" s="57"/>
      <c r="E1822" s="57"/>
      <c r="F1822" s="985"/>
      <c r="G1822" s="57"/>
      <c r="H1822" s="57"/>
      <c r="I1822" s="990"/>
      <c r="J1822" s="57"/>
      <c r="K1822" s="57"/>
      <c r="L1822" s="57"/>
      <c r="M1822" s="57"/>
      <c r="N1822" s="57"/>
      <c r="O1822" s="57"/>
      <c r="P1822" s="57"/>
      <c r="Q1822" s="57"/>
      <c r="R1822" s="57"/>
      <c r="S1822" s="57"/>
      <c r="T1822" s="57"/>
      <c r="U1822" s="57"/>
      <c r="V1822" s="57"/>
      <c r="W1822" s="57"/>
      <c r="X1822" s="57"/>
      <c r="Y1822" s="57"/>
      <c r="Z1822" s="57"/>
      <c r="AA1822" s="57"/>
      <c r="AB1822" s="57"/>
      <c r="AC1822" s="57"/>
      <c r="AD1822" s="57"/>
      <c r="AE1822" s="57"/>
      <c r="AF1822" s="57"/>
    </row>
    <row r="1823" spans="1:32" x14ac:dyDescent="0.2">
      <c r="A1823" s="57"/>
      <c r="B1823" s="57"/>
      <c r="C1823" s="57"/>
      <c r="D1823" s="57"/>
      <c r="E1823" s="57"/>
      <c r="F1823" s="985"/>
      <c r="G1823" s="57"/>
      <c r="H1823" s="57"/>
      <c r="I1823" s="990"/>
      <c r="J1823" s="57"/>
      <c r="K1823" s="57"/>
      <c r="L1823" s="57"/>
      <c r="M1823" s="57"/>
      <c r="N1823" s="57"/>
      <c r="O1823" s="57"/>
      <c r="P1823" s="57"/>
      <c r="Q1823" s="57"/>
      <c r="R1823" s="57"/>
      <c r="S1823" s="57"/>
      <c r="T1823" s="57"/>
      <c r="U1823" s="57"/>
      <c r="V1823" s="57"/>
      <c r="W1823" s="57"/>
      <c r="X1823" s="57"/>
      <c r="Y1823" s="57"/>
      <c r="Z1823" s="57"/>
      <c r="AA1823" s="57"/>
      <c r="AB1823" s="57"/>
      <c r="AC1823" s="57"/>
      <c r="AD1823" s="57"/>
      <c r="AE1823" s="57"/>
      <c r="AF1823" s="57"/>
    </row>
    <row r="1824" spans="1:32" x14ac:dyDescent="0.2">
      <c r="A1824" s="57"/>
      <c r="B1824" s="57"/>
      <c r="C1824" s="57"/>
      <c r="D1824" s="57"/>
      <c r="E1824" s="57"/>
      <c r="F1824" s="985"/>
      <c r="G1824" s="57"/>
      <c r="H1824" s="57"/>
      <c r="I1824" s="990"/>
      <c r="J1824" s="57"/>
      <c r="K1824" s="57"/>
      <c r="L1824" s="57"/>
      <c r="M1824" s="57"/>
      <c r="N1824" s="57"/>
      <c r="O1824" s="57"/>
      <c r="P1824" s="57"/>
      <c r="Q1824" s="57"/>
      <c r="R1824" s="57"/>
      <c r="S1824" s="57"/>
      <c r="T1824" s="57"/>
      <c r="U1824" s="57"/>
      <c r="V1824" s="57"/>
      <c r="W1824" s="57"/>
      <c r="X1824" s="57"/>
      <c r="Y1824" s="57"/>
      <c r="Z1824" s="57"/>
      <c r="AA1824" s="57"/>
      <c r="AB1824" s="57"/>
      <c r="AC1824" s="57"/>
      <c r="AD1824" s="57"/>
      <c r="AE1824" s="57"/>
      <c r="AF1824" s="57"/>
    </row>
    <row r="1825" spans="1:32" x14ac:dyDescent="0.2">
      <c r="A1825" s="57"/>
      <c r="B1825" s="57"/>
      <c r="C1825" s="57"/>
      <c r="D1825" s="57"/>
      <c r="E1825" s="57"/>
      <c r="F1825" s="985"/>
      <c r="G1825" s="57"/>
      <c r="H1825" s="57"/>
      <c r="I1825" s="990"/>
      <c r="J1825" s="57"/>
      <c r="K1825" s="57"/>
      <c r="L1825" s="57"/>
      <c r="M1825" s="57"/>
      <c r="N1825" s="57"/>
      <c r="O1825" s="57"/>
      <c r="P1825" s="57"/>
      <c r="Q1825" s="57"/>
      <c r="R1825" s="57"/>
      <c r="S1825" s="57"/>
      <c r="T1825" s="57"/>
      <c r="U1825" s="57"/>
      <c r="V1825" s="57"/>
      <c r="W1825" s="57"/>
      <c r="X1825" s="57"/>
      <c r="Y1825" s="57"/>
      <c r="Z1825" s="57"/>
      <c r="AA1825" s="57"/>
      <c r="AB1825" s="57"/>
      <c r="AC1825" s="57"/>
      <c r="AD1825" s="57"/>
      <c r="AE1825" s="57"/>
      <c r="AF1825" s="57"/>
    </row>
    <row r="1826" spans="1:32" x14ac:dyDescent="0.2">
      <c r="A1826" s="57"/>
      <c r="B1826" s="57"/>
      <c r="C1826" s="57"/>
      <c r="D1826" s="57"/>
      <c r="E1826" s="57"/>
      <c r="F1826" s="985"/>
      <c r="G1826" s="57"/>
      <c r="H1826" s="57"/>
      <c r="I1826" s="990"/>
      <c r="J1826" s="57"/>
      <c r="K1826" s="57"/>
      <c r="L1826" s="57"/>
      <c r="M1826" s="57"/>
      <c r="N1826" s="57"/>
      <c r="O1826" s="57"/>
      <c r="P1826" s="57"/>
      <c r="Q1826" s="57"/>
      <c r="R1826" s="57"/>
      <c r="S1826" s="57"/>
      <c r="T1826" s="57"/>
      <c r="U1826" s="57"/>
      <c r="V1826" s="57"/>
      <c r="W1826" s="57"/>
      <c r="X1826" s="57"/>
      <c r="Y1826" s="57"/>
      <c r="Z1826" s="57"/>
      <c r="AA1826" s="57"/>
      <c r="AB1826" s="57"/>
      <c r="AC1826" s="57"/>
      <c r="AD1826" s="57"/>
      <c r="AE1826" s="57"/>
      <c r="AF1826" s="57"/>
    </row>
    <row r="1827" spans="1:32" x14ac:dyDescent="0.2">
      <c r="A1827" s="57"/>
      <c r="B1827" s="57"/>
      <c r="C1827" s="57"/>
      <c r="D1827" s="57"/>
      <c r="E1827" s="57"/>
      <c r="F1827" s="985"/>
      <c r="G1827" s="57"/>
      <c r="H1827" s="57"/>
      <c r="I1827" s="990"/>
      <c r="J1827" s="57"/>
      <c r="K1827" s="57"/>
      <c r="L1827" s="57"/>
      <c r="M1827" s="57"/>
      <c r="N1827" s="57"/>
      <c r="O1827" s="57"/>
      <c r="P1827" s="57"/>
      <c r="Q1827" s="57"/>
      <c r="R1827" s="57"/>
      <c r="S1827" s="57"/>
      <c r="T1827" s="57"/>
      <c r="U1827" s="57"/>
      <c r="V1827" s="57"/>
      <c r="W1827" s="57"/>
      <c r="X1827" s="57"/>
      <c r="Y1827" s="57"/>
      <c r="Z1827" s="57"/>
      <c r="AA1827" s="57"/>
      <c r="AB1827" s="57"/>
      <c r="AC1827" s="57"/>
      <c r="AD1827" s="57"/>
      <c r="AE1827" s="57"/>
      <c r="AF1827" s="57"/>
    </row>
    <row r="1828" spans="1:32" x14ac:dyDescent="0.2">
      <c r="A1828" s="57"/>
      <c r="B1828" s="57"/>
      <c r="C1828" s="57"/>
      <c r="D1828" s="57"/>
      <c r="E1828" s="57"/>
      <c r="F1828" s="985"/>
      <c r="G1828" s="57"/>
      <c r="H1828" s="57"/>
      <c r="I1828" s="990"/>
      <c r="J1828" s="57"/>
      <c r="K1828" s="57"/>
      <c r="L1828" s="57"/>
      <c r="M1828" s="57"/>
      <c r="N1828" s="57"/>
      <c r="O1828" s="57"/>
      <c r="P1828" s="57"/>
      <c r="Q1828" s="57"/>
      <c r="R1828" s="57"/>
      <c r="S1828" s="57"/>
      <c r="T1828" s="57"/>
      <c r="U1828" s="57"/>
      <c r="V1828" s="57"/>
      <c r="W1828" s="57"/>
      <c r="X1828" s="57"/>
      <c r="Y1828" s="57"/>
      <c r="Z1828" s="57"/>
      <c r="AA1828" s="57"/>
      <c r="AB1828" s="57"/>
      <c r="AC1828" s="57"/>
      <c r="AD1828" s="57"/>
      <c r="AE1828" s="57"/>
      <c r="AF1828" s="57"/>
    </row>
    <row r="1829" spans="1:32" x14ac:dyDescent="0.2">
      <c r="A1829" s="57"/>
      <c r="B1829" s="57"/>
      <c r="C1829" s="57"/>
      <c r="D1829" s="57"/>
      <c r="E1829" s="57"/>
      <c r="F1829" s="985"/>
      <c r="G1829" s="57"/>
      <c r="H1829" s="57"/>
      <c r="I1829" s="990"/>
      <c r="J1829" s="57"/>
      <c r="K1829" s="57"/>
      <c r="L1829" s="57"/>
      <c r="M1829" s="57"/>
      <c r="N1829" s="57"/>
      <c r="O1829" s="57"/>
      <c r="P1829" s="57"/>
      <c r="Q1829" s="57"/>
      <c r="R1829" s="57"/>
      <c r="S1829" s="57"/>
      <c r="T1829" s="57"/>
      <c r="U1829" s="57"/>
      <c r="V1829" s="57"/>
      <c r="W1829" s="57"/>
      <c r="X1829" s="57"/>
      <c r="Y1829" s="57"/>
      <c r="Z1829" s="57"/>
      <c r="AA1829" s="57"/>
      <c r="AB1829" s="57"/>
      <c r="AC1829" s="57"/>
      <c r="AD1829" s="57"/>
      <c r="AE1829" s="57"/>
      <c r="AF1829" s="57"/>
    </row>
    <row r="1830" spans="1:32" x14ac:dyDescent="0.2">
      <c r="A1830" s="57"/>
      <c r="B1830" s="57"/>
      <c r="C1830" s="57"/>
      <c r="D1830" s="57"/>
      <c r="E1830" s="57"/>
      <c r="F1830" s="985"/>
      <c r="G1830" s="57"/>
      <c r="H1830" s="57"/>
      <c r="I1830" s="990"/>
      <c r="J1830" s="57"/>
      <c r="K1830" s="57"/>
      <c r="L1830" s="57"/>
      <c r="M1830" s="57"/>
      <c r="N1830" s="57"/>
      <c r="O1830" s="57"/>
      <c r="P1830" s="57"/>
      <c r="Q1830" s="57"/>
      <c r="R1830" s="57"/>
      <c r="S1830" s="57"/>
      <c r="T1830" s="57"/>
      <c r="U1830" s="57"/>
      <c r="V1830" s="57"/>
      <c r="W1830" s="57"/>
      <c r="X1830" s="57"/>
      <c r="Y1830" s="57"/>
      <c r="Z1830" s="57"/>
      <c r="AA1830" s="57"/>
      <c r="AB1830" s="57"/>
      <c r="AC1830" s="57"/>
      <c r="AD1830" s="57"/>
      <c r="AE1830" s="57"/>
      <c r="AF1830" s="57"/>
    </row>
    <row r="1831" spans="1:32" x14ac:dyDescent="0.2">
      <c r="A1831" s="57"/>
      <c r="B1831" s="57"/>
      <c r="C1831" s="57"/>
      <c r="D1831" s="57"/>
      <c r="E1831" s="57"/>
      <c r="F1831" s="985"/>
      <c r="G1831" s="57"/>
      <c r="H1831" s="57"/>
      <c r="I1831" s="990"/>
      <c r="J1831" s="57"/>
      <c r="K1831" s="57"/>
      <c r="L1831" s="57"/>
      <c r="M1831" s="57"/>
      <c r="N1831" s="57"/>
      <c r="O1831" s="57"/>
      <c r="P1831" s="57"/>
      <c r="Q1831" s="57"/>
      <c r="R1831" s="57"/>
      <c r="S1831" s="57"/>
      <c r="T1831" s="57"/>
      <c r="U1831" s="57"/>
      <c r="V1831" s="57"/>
      <c r="W1831" s="57"/>
      <c r="X1831" s="57"/>
      <c r="Y1831" s="57"/>
      <c r="Z1831" s="57"/>
      <c r="AA1831" s="57"/>
      <c r="AB1831" s="57"/>
      <c r="AC1831" s="57"/>
      <c r="AD1831" s="57"/>
      <c r="AE1831" s="57"/>
      <c r="AF1831" s="57"/>
    </row>
    <row r="1832" spans="1:32" x14ac:dyDescent="0.2">
      <c r="A1832" s="57"/>
      <c r="B1832" s="57"/>
      <c r="C1832" s="57"/>
      <c r="D1832" s="57"/>
      <c r="E1832" s="57"/>
      <c r="F1832" s="985"/>
      <c r="G1832" s="57"/>
      <c r="H1832" s="57"/>
      <c r="I1832" s="990"/>
      <c r="J1832" s="57"/>
      <c r="K1832" s="57"/>
      <c r="L1832" s="57"/>
      <c r="M1832" s="57"/>
      <c r="N1832" s="57"/>
      <c r="O1832" s="57"/>
      <c r="P1832" s="57"/>
      <c r="Q1832" s="57"/>
      <c r="R1832" s="57"/>
      <c r="S1832" s="57"/>
      <c r="T1832" s="57"/>
      <c r="U1832" s="57"/>
      <c r="V1832" s="57"/>
      <c r="W1832" s="57"/>
      <c r="X1832" s="57"/>
      <c r="Y1832" s="57"/>
      <c r="Z1832" s="57"/>
      <c r="AA1832" s="57"/>
      <c r="AB1832" s="57"/>
      <c r="AC1832" s="57"/>
      <c r="AD1832" s="57"/>
      <c r="AE1832" s="57"/>
      <c r="AF1832" s="57"/>
    </row>
    <row r="1833" spans="1:32" x14ac:dyDescent="0.2">
      <c r="A1833" s="57"/>
      <c r="B1833" s="57"/>
      <c r="C1833" s="57"/>
      <c r="D1833" s="57"/>
      <c r="E1833" s="57"/>
      <c r="F1833" s="985"/>
      <c r="G1833" s="57"/>
      <c r="H1833" s="57"/>
      <c r="I1833" s="990"/>
      <c r="J1833" s="57"/>
      <c r="K1833" s="57"/>
      <c r="L1833" s="57"/>
      <c r="M1833" s="57"/>
      <c r="N1833" s="57"/>
      <c r="O1833" s="57"/>
      <c r="P1833" s="57"/>
      <c r="Q1833" s="57"/>
      <c r="R1833" s="57"/>
      <c r="S1833" s="57"/>
      <c r="T1833" s="57"/>
      <c r="U1833" s="57"/>
      <c r="V1833" s="57"/>
      <c r="W1833" s="57"/>
      <c r="X1833" s="57"/>
      <c r="Y1833" s="57"/>
      <c r="Z1833" s="57"/>
      <c r="AA1833" s="57"/>
      <c r="AB1833" s="57"/>
      <c r="AC1833" s="57"/>
      <c r="AD1833" s="57"/>
      <c r="AE1833" s="57"/>
      <c r="AF1833" s="57"/>
    </row>
    <row r="1834" spans="1:32" x14ac:dyDescent="0.2">
      <c r="A1834" s="57"/>
      <c r="B1834" s="57"/>
      <c r="C1834" s="57"/>
      <c r="D1834" s="57"/>
      <c r="E1834" s="57"/>
      <c r="F1834" s="985"/>
      <c r="G1834" s="57"/>
      <c r="H1834" s="57"/>
      <c r="I1834" s="990"/>
      <c r="J1834" s="57"/>
      <c r="K1834" s="57"/>
      <c r="L1834" s="57"/>
      <c r="M1834" s="57"/>
      <c r="N1834" s="57"/>
      <c r="O1834" s="57"/>
      <c r="P1834" s="57"/>
      <c r="Q1834" s="57"/>
      <c r="R1834" s="57"/>
      <c r="S1834" s="57"/>
      <c r="T1834" s="57"/>
      <c r="U1834" s="57"/>
      <c r="V1834" s="57"/>
      <c r="W1834" s="57"/>
      <c r="X1834" s="57"/>
      <c r="Y1834" s="57"/>
      <c r="Z1834" s="57"/>
      <c r="AA1834" s="57"/>
      <c r="AB1834" s="57"/>
      <c r="AC1834" s="57"/>
      <c r="AD1834" s="57"/>
      <c r="AE1834" s="57"/>
      <c r="AF1834" s="57"/>
    </row>
    <row r="1835" spans="1:32" x14ac:dyDescent="0.2">
      <c r="A1835" s="57"/>
      <c r="B1835" s="57"/>
      <c r="C1835" s="57"/>
      <c r="D1835" s="57"/>
      <c r="E1835" s="57"/>
      <c r="F1835" s="985"/>
      <c r="G1835" s="57"/>
      <c r="H1835" s="57"/>
      <c r="I1835" s="990"/>
      <c r="J1835" s="57"/>
      <c r="K1835" s="57"/>
      <c r="L1835" s="57"/>
      <c r="M1835" s="57"/>
      <c r="N1835" s="57"/>
      <c r="O1835" s="57"/>
      <c r="P1835" s="57"/>
      <c r="Q1835" s="57"/>
      <c r="R1835" s="57"/>
      <c r="S1835" s="57"/>
      <c r="T1835" s="57"/>
      <c r="U1835" s="57"/>
      <c r="V1835" s="57"/>
      <c r="W1835" s="57"/>
      <c r="X1835" s="57"/>
      <c r="Y1835" s="57"/>
      <c r="Z1835" s="57"/>
      <c r="AA1835" s="57"/>
      <c r="AB1835" s="57"/>
      <c r="AC1835" s="57"/>
      <c r="AD1835" s="57"/>
      <c r="AE1835" s="57"/>
      <c r="AF1835" s="57"/>
    </row>
    <row r="1836" spans="1:32" x14ac:dyDescent="0.2">
      <c r="A1836" s="57"/>
      <c r="B1836" s="57"/>
      <c r="C1836" s="57"/>
      <c r="D1836" s="57"/>
      <c r="E1836" s="57"/>
      <c r="F1836" s="985"/>
      <c r="G1836" s="57"/>
      <c r="H1836" s="57"/>
      <c r="I1836" s="990"/>
      <c r="J1836" s="57"/>
      <c r="K1836" s="57"/>
      <c r="L1836" s="57"/>
      <c r="M1836" s="57"/>
      <c r="N1836" s="57"/>
      <c r="O1836" s="57"/>
      <c r="P1836" s="57"/>
      <c r="Q1836" s="57"/>
      <c r="R1836" s="57"/>
      <c r="S1836" s="57"/>
      <c r="T1836" s="57"/>
      <c r="U1836" s="57"/>
      <c r="V1836" s="57"/>
      <c r="W1836" s="57"/>
      <c r="X1836" s="57"/>
      <c r="Y1836" s="57"/>
      <c r="Z1836" s="57"/>
      <c r="AA1836" s="57"/>
      <c r="AB1836" s="57"/>
      <c r="AC1836" s="57"/>
      <c r="AD1836" s="57"/>
      <c r="AE1836" s="57"/>
      <c r="AF1836" s="57"/>
    </row>
    <row r="1837" spans="1:32" x14ac:dyDescent="0.2">
      <c r="A1837" s="57"/>
      <c r="B1837" s="57"/>
      <c r="C1837" s="57"/>
      <c r="D1837" s="57"/>
      <c r="E1837" s="57"/>
      <c r="F1837" s="985"/>
      <c r="G1837" s="57"/>
      <c r="H1837" s="57"/>
      <c r="I1837" s="990"/>
      <c r="J1837" s="57"/>
      <c r="K1837" s="57"/>
      <c r="L1837" s="57"/>
      <c r="M1837" s="57"/>
      <c r="N1837" s="57"/>
      <c r="O1837" s="57"/>
      <c r="P1837" s="57"/>
      <c r="Q1837" s="57"/>
      <c r="R1837" s="57"/>
      <c r="S1837" s="57"/>
      <c r="T1837" s="57"/>
      <c r="U1837" s="57"/>
      <c r="V1837" s="57"/>
      <c r="W1837" s="57"/>
      <c r="X1837" s="57"/>
      <c r="Y1837" s="57"/>
      <c r="Z1837" s="57"/>
      <c r="AA1837" s="57"/>
      <c r="AB1837" s="57"/>
      <c r="AC1837" s="57"/>
      <c r="AD1837" s="57"/>
      <c r="AE1837" s="57"/>
      <c r="AF1837" s="57"/>
    </row>
    <row r="1838" spans="1:32" x14ac:dyDescent="0.2">
      <c r="A1838" s="57"/>
      <c r="B1838" s="57"/>
      <c r="C1838" s="57"/>
      <c r="D1838" s="57"/>
      <c r="E1838" s="57"/>
      <c r="F1838" s="985"/>
      <c r="G1838" s="57"/>
      <c r="H1838" s="57"/>
      <c r="I1838" s="990"/>
      <c r="J1838" s="57"/>
      <c r="K1838" s="57"/>
      <c r="L1838" s="57"/>
      <c r="M1838" s="57"/>
      <c r="N1838" s="57"/>
      <c r="O1838" s="57"/>
      <c r="P1838" s="57"/>
      <c r="Q1838" s="57"/>
      <c r="R1838" s="57"/>
      <c r="S1838" s="57"/>
      <c r="T1838" s="57"/>
      <c r="U1838" s="57"/>
      <c r="V1838" s="57"/>
      <c r="W1838" s="57"/>
      <c r="X1838" s="57"/>
      <c r="Y1838" s="57"/>
      <c r="Z1838" s="57"/>
      <c r="AA1838" s="57"/>
      <c r="AB1838" s="57"/>
      <c r="AC1838" s="57"/>
      <c r="AD1838" s="57"/>
      <c r="AE1838" s="57"/>
      <c r="AF1838" s="57"/>
    </row>
    <row r="1839" spans="1:32" x14ac:dyDescent="0.2">
      <c r="A1839" s="57"/>
      <c r="B1839" s="57"/>
      <c r="C1839" s="57"/>
      <c r="D1839" s="57"/>
      <c r="E1839" s="57"/>
      <c r="F1839" s="985"/>
      <c r="G1839" s="57"/>
      <c r="H1839" s="57"/>
      <c r="I1839" s="990"/>
      <c r="J1839" s="57"/>
      <c r="K1839" s="57"/>
      <c r="L1839" s="57"/>
      <c r="M1839" s="57"/>
      <c r="N1839" s="57"/>
      <c r="O1839" s="57"/>
      <c r="P1839" s="57"/>
      <c r="Q1839" s="57"/>
      <c r="R1839" s="57"/>
      <c r="S1839" s="57"/>
      <c r="T1839" s="57"/>
      <c r="U1839" s="57"/>
      <c r="V1839" s="57"/>
      <c r="W1839" s="57"/>
      <c r="X1839" s="57"/>
      <c r="Y1839" s="57"/>
      <c r="Z1839" s="57"/>
      <c r="AA1839" s="57"/>
      <c r="AB1839" s="57"/>
      <c r="AC1839" s="57"/>
      <c r="AD1839" s="57"/>
      <c r="AE1839" s="57"/>
      <c r="AF1839" s="57"/>
    </row>
    <row r="1840" spans="1:32" x14ac:dyDescent="0.2">
      <c r="A1840" s="57"/>
      <c r="B1840" s="57"/>
      <c r="C1840" s="57"/>
      <c r="D1840" s="57"/>
      <c r="E1840" s="57"/>
      <c r="F1840" s="985"/>
      <c r="G1840" s="57"/>
      <c r="H1840" s="57"/>
      <c r="I1840" s="990"/>
      <c r="J1840" s="57"/>
      <c r="K1840" s="57"/>
      <c r="L1840" s="57"/>
      <c r="M1840" s="57"/>
      <c r="N1840" s="57"/>
      <c r="O1840" s="57"/>
      <c r="P1840" s="57"/>
      <c r="Q1840" s="57"/>
      <c r="R1840" s="57"/>
      <c r="S1840" s="57"/>
      <c r="T1840" s="57"/>
      <c r="U1840" s="57"/>
      <c r="V1840" s="57"/>
      <c r="W1840" s="57"/>
      <c r="X1840" s="57"/>
      <c r="Y1840" s="57"/>
      <c r="Z1840" s="57"/>
      <c r="AA1840" s="57"/>
      <c r="AB1840" s="57"/>
      <c r="AC1840" s="57"/>
      <c r="AD1840" s="57"/>
      <c r="AE1840" s="57"/>
      <c r="AF1840" s="57"/>
    </row>
    <row r="1841" spans="1:32" x14ac:dyDescent="0.2">
      <c r="A1841" s="57"/>
      <c r="B1841" s="57"/>
      <c r="C1841" s="57"/>
      <c r="D1841" s="57"/>
      <c r="E1841" s="57"/>
      <c r="F1841" s="985"/>
      <c r="G1841" s="57"/>
      <c r="H1841" s="57"/>
      <c r="I1841" s="990"/>
      <c r="J1841" s="57"/>
      <c r="K1841" s="57"/>
      <c r="L1841" s="57"/>
      <c r="M1841" s="57"/>
      <c r="N1841" s="57"/>
      <c r="O1841" s="57"/>
      <c r="P1841" s="57"/>
      <c r="Q1841" s="57"/>
      <c r="R1841" s="57"/>
      <c r="S1841" s="57"/>
      <c r="T1841" s="57"/>
      <c r="U1841" s="57"/>
      <c r="V1841" s="57"/>
      <c r="W1841" s="57"/>
      <c r="X1841" s="57"/>
      <c r="Y1841" s="57"/>
      <c r="Z1841" s="57"/>
      <c r="AA1841" s="57"/>
      <c r="AB1841" s="57"/>
      <c r="AC1841" s="57"/>
      <c r="AD1841" s="57"/>
      <c r="AE1841" s="57"/>
      <c r="AF1841" s="57"/>
    </row>
    <row r="1842" spans="1:32" x14ac:dyDescent="0.2">
      <c r="A1842" s="57"/>
      <c r="B1842" s="57"/>
      <c r="C1842" s="57"/>
      <c r="D1842" s="57"/>
      <c r="E1842" s="57"/>
      <c r="F1842" s="985"/>
      <c r="G1842" s="57"/>
      <c r="H1842" s="57"/>
      <c r="I1842" s="990"/>
      <c r="J1842" s="57"/>
      <c r="K1842" s="57"/>
      <c r="L1842" s="57"/>
      <c r="M1842" s="57"/>
      <c r="N1842" s="57"/>
      <c r="O1842" s="57"/>
      <c r="P1842" s="57"/>
      <c r="Q1842" s="57"/>
      <c r="R1842" s="57"/>
      <c r="S1842" s="57"/>
      <c r="T1842" s="57"/>
      <c r="U1842" s="57"/>
      <c r="V1842" s="57"/>
      <c r="W1842" s="57"/>
      <c r="X1842" s="57"/>
      <c r="Y1842" s="57"/>
      <c r="Z1842" s="57"/>
      <c r="AA1842" s="57"/>
      <c r="AB1842" s="57"/>
      <c r="AC1842" s="57"/>
      <c r="AD1842" s="57"/>
      <c r="AE1842" s="57"/>
      <c r="AF1842" s="57"/>
    </row>
    <row r="1843" spans="1:32" x14ac:dyDescent="0.2">
      <c r="A1843" s="57"/>
      <c r="B1843" s="57"/>
      <c r="C1843" s="57"/>
      <c r="D1843" s="57"/>
      <c r="E1843" s="57"/>
      <c r="F1843" s="985"/>
      <c r="G1843" s="57"/>
      <c r="H1843" s="57"/>
      <c r="I1843" s="990"/>
      <c r="J1843" s="57"/>
      <c r="K1843" s="57"/>
      <c r="L1843" s="57"/>
      <c r="M1843" s="57"/>
      <c r="N1843" s="57"/>
      <c r="O1843" s="57"/>
      <c r="P1843" s="57"/>
      <c r="Q1843" s="57"/>
      <c r="R1843" s="57"/>
      <c r="S1843" s="57"/>
      <c r="T1843" s="57"/>
      <c r="U1843" s="57"/>
      <c r="V1843" s="57"/>
      <c r="W1843" s="57"/>
      <c r="X1843" s="57"/>
      <c r="Y1843" s="57"/>
      <c r="Z1843" s="57"/>
      <c r="AA1843" s="57"/>
      <c r="AB1843" s="57"/>
      <c r="AC1843" s="57"/>
      <c r="AD1843" s="57"/>
      <c r="AE1843" s="57"/>
      <c r="AF1843" s="57"/>
    </row>
    <row r="1844" spans="1:32" x14ac:dyDescent="0.2">
      <c r="A1844" s="57"/>
      <c r="B1844" s="57"/>
      <c r="C1844" s="57"/>
      <c r="D1844" s="57"/>
      <c r="E1844" s="57"/>
      <c r="F1844" s="985"/>
      <c r="G1844" s="57"/>
      <c r="H1844" s="57"/>
      <c r="I1844" s="990"/>
      <c r="J1844" s="57"/>
      <c r="K1844" s="57"/>
      <c r="L1844" s="57"/>
      <c r="M1844" s="57"/>
      <c r="N1844" s="57"/>
      <c r="O1844" s="57"/>
      <c r="P1844" s="57"/>
      <c r="Q1844" s="57"/>
      <c r="R1844" s="57"/>
      <c r="S1844" s="57"/>
      <c r="T1844" s="57"/>
      <c r="U1844" s="57"/>
      <c r="V1844" s="57"/>
      <c r="W1844" s="57"/>
      <c r="X1844" s="57"/>
      <c r="Y1844" s="57"/>
      <c r="Z1844" s="57"/>
      <c r="AA1844" s="57"/>
      <c r="AB1844" s="57"/>
      <c r="AC1844" s="57"/>
      <c r="AD1844" s="57"/>
      <c r="AE1844" s="57"/>
      <c r="AF1844" s="57"/>
    </row>
    <row r="1845" spans="1:32" x14ac:dyDescent="0.2">
      <c r="A1845" s="57"/>
      <c r="B1845" s="57"/>
      <c r="C1845" s="57"/>
      <c r="D1845" s="57"/>
      <c r="E1845" s="57"/>
      <c r="F1845" s="985"/>
      <c r="G1845" s="57"/>
      <c r="H1845" s="57"/>
      <c r="I1845" s="990"/>
      <c r="J1845" s="57"/>
      <c r="K1845" s="57"/>
      <c r="L1845" s="57"/>
      <c r="M1845" s="57"/>
      <c r="N1845" s="57"/>
      <c r="O1845" s="57"/>
      <c r="P1845" s="57"/>
      <c r="Q1845" s="57"/>
      <c r="R1845" s="57"/>
      <c r="S1845" s="57"/>
      <c r="T1845" s="57"/>
      <c r="U1845" s="57"/>
      <c r="V1845" s="57"/>
      <c r="W1845" s="57"/>
      <c r="X1845" s="57"/>
      <c r="Y1845" s="57"/>
      <c r="Z1845" s="57"/>
      <c r="AA1845" s="57"/>
      <c r="AB1845" s="57"/>
      <c r="AC1845" s="57"/>
      <c r="AD1845" s="57"/>
      <c r="AE1845" s="57"/>
      <c r="AF1845" s="57"/>
    </row>
    <row r="1846" spans="1:32" x14ac:dyDescent="0.2">
      <c r="A1846" s="57"/>
      <c r="B1846" s="57"/>
      <c r="C1846" s="57"/>
      <c r="D1846" s="57"/>
      <c r="E1846" s="57"/>
      <c r="F1846" s="985"/>
      <c r="G1846" s="57"/>
      <c r="H1846" s="57"/>
      <c r="I1846" s="990"/>
      <c r="J1846" s="57"/>
      <c r="K1846" s="57"/>
      <c r="L1846" s="57"/>
      <c r="M1846" s="57"/>
      <c r="N1846" s="57"/>
      <c r="O1846" s="57"/>
      <c r="P1846" s="57"/>
      <c r="Q1846" s="57"/>
      <c r="R1846" s="57"/>
      <c r="S1846" s="57"/>
      <c r="T1846" s="57"/>
      <c r="U1846" s="57"/>
      <c r="V1846" s="57"/>
      <c r="W1846" s="57"/>
      <c r="X1846" s="57"/>
      <c r="Y1846" s="57"/>
      <c r="Z1846" s="57"/>
      <c r="AA1846" s="57"/>
      <c r="AB1846" s="57"/>
      <c r="AC1846" s="57"/>
      <c r="AD1846" s="57"/>
      <c r="AE1846" s="57"/>
      <c r="AF1846" s="57"/>
    </row>
    <row r="1847" spans="1:32" x14ac:dyDescent="0.2">
      <c r="A1847" s="57"/>
      <c r="B1847" s="57"/>
      <c r="C1847" s="57"/>
      <c r="D1847" s="57"/>
      <c r="E1847" s="57"/>
      <c r="F1847" s="985"/>
      <c r="G1847" s="57"/>
      <c r="H1847" s="57"/>
      <c r="I1847" s="990"/>
      <c r="J1847" s="57"/>
      <c r="K1847" s="57"/>
      <c r="L1847" s="57"/>
      <c r="M1847" s="57"/>
      <c r="N1847" s="57"/>
      <c r="O1847" s="57"/>
      <c r="P1847" s="57"/>
      <c r="Q1847" s="57"/>
      <c r="R1847" s="57"/>
      <c r="S1847" s="57"/>
      <c r="T1847" s="57"/>
      <c r="U1847" s="57"/>
      <c r="V1847" s="57"/>
      <c r="W1847" s="57"/>
      <c r="X1847" s="57"/>
      <c r="Y1847" s="57"/>
      <c r="Z1847" s="57"/>
      <c r="AA1847" s="57"/>
      <c r="AB1847" s="57"/>
      <c r="AC1847" s="57"/>
      <c r="AD1847" s="57"/>
      <c r="AE1847" s="57"/>
      <c r="AF1847" s="57"/>
    </row>
    <row r="1848" spans="1:32" x14ac:dyDescent="0.2">
      <c r="A1848" s="57"/>
      <c r="B1848" s="57"/>
      <c r="C1848" s="57"/>
      <c r="D1848" s="57"/>
      <c r="E1848" s="57"/>
      <c r="F1848" s="985"/>
      <c r="G1848" s="57"/>
      <c r="H1848" s="57"/>
      <c r="I1848" s="990"/>
      <c r="J1848" s="57"/>
      <c r="K1848" s="57"/>
      <c r="L1848" s="57"/>
      <c r="M1848" s="57"/>
      <c r="N1848" s="57"/>
      <c r="O1848" s="57"/>
      <c r="P1848" s="57"/>
      <c r="Q1848" s="57"/>
      <c r="R1848" s="57"/>
      <c r="S1848" s="57"/>
      <c r="T1848" s="57"/>
      <c r="U1848" s="57"/>
      <c r="V1848" s="57"/>
      <c r="W1848" s="57"/>
      <c r="X1848" s="57"/>
      <c r="Y1848" s="57"/>
      <c r="Z1848" s="57"/>
      <c r="AA1848" s="57"/>
      <c r="AB1848" s="57"/>
      <c r="AC1848" s="57"/>
      <c r="AD1848" s="57"/>
      <c r="AE1848" s="57"/>
      <c r="AF1848" s="57"/>
    </row>
    <row r="1849" spans="1:32" x14ac:dyDescent="0.2">
      <c r="A1849" s="57"/>
      <c r="B1849" s="57"/>
      <c r="C1849" s="57"/>
      <c r="D1849" s="57"/>
      <c r="E1849" s="57"/>
      <c r="F1849" s="985"/>
      <c r="G1849" s="57"/>
      <c r="H1849" s="57"/>
      <c r="I1849" s="990"/>
      <c r="J1849" s="57"/>
      <c r="K1849" s="57"/>
      <c r="L1849" s="57"/>
      <c r="M1849" s="57"/>
      <c r="N1849" s="57"/>
      <c r="O1849" s="57"/>
      <c r="P1849" s="57"/>
      <c r="Q1849" s="57"/>
      <c r="R1849" s="57"/>
      <c r="S1849" s="57"/>
      <c r="T1849" s="57"/>
      <c r="U1849" s="57"/>
      <c r="V1849" s="57"/>
      <c r="W1849" s="57"/>
      <c r="X1849" s="57"/>
      <c r="Y1849" s="57"/>
      <c r="Z1849" s="57"/>
      <c r="AA1849" s="57"/>
      <c r="AB1849" s="57"/>
      <c r="AC1849" s="57"/>
      <c r="AD1849" s="57"/>
      <c r="AE1849" s="57"/>
      <c r="AF1849" s="57"/>
    </row>
    <row r="1850" spans="1:32" x14ac:dyDescent="0.2">
      <c r="A1850" s="57"/>
      <c r="B1850" s="57"/>
      <c r="C1850" s="57"/>
      <c r="D1850" s="57"/>
      <c r="E1850" s="57"/>
      <c r="F1850" s="985"/>
      <c r="G1850" s="57"/>
      <c r="H1850" s="57"/>
      <c r="I1850" s="990"/>
      <c r="J1850" s="57"/>
      <c r="K1850" s="57"/>
      <c r="L1850" s="57"/>
      <c r="M1850" s="57"/>
      <c r="N1850" s="57"/>
      <c r="O1850" s="57"/>
      <c r="P1850" s="57"/>
      <c r="Q1850" s="57"/>
      <c r="R1850" s="57"/>
      <c r="S1850" s="57"/>
      <c r="T1850" s="57"/>
      <c r="U1850" s="57"/>
      <c r="V1850" s="57"/>
      <c r="W1850" s="57"/>
      <c r="X1850" s="57"/>
      <c r="Y1850" s="57"/>
      <c r="Z1850" s="57"/>
      <c r="AA1850" s="57"/>
      <c r="AB1850" s="57"/>
      <c r="AC1850" s="57"/>
      <c r="AD1850" s="57"/>
      <c r="AE1850" s="57"/>
      <c r="AF1850" s="57"/>
    </row>
    <row r="1851" spans="1:32" x14ac:dyDescent="0.2">
      <c r="A1851" s="57"/>
      <c r="B1851" s="57"/>
      <c r="C1851" s="57"/>
      <c r="D1851" s="57"/>
      <c r="E1851" s="57"/>
      <c r="F1851" s="985"/>
      <c r="G1851" s="57"/>
      <c r="H1851" s="57"/>
      <c r="I1851" s="990"/>
      <c r="J1851" s="57"/>
      <c r="K1851" s="57"/>
      <c r="L1851" s="57"/>
      <c r="M1851" s="57"/>
      <c r="N1851" s="57"/>
      <c r="O1851" s="57"/>
      <c r="P1851" s="57"/>
      <c r="Q1851" s="57"/>
      <c r="R1851" s="57"/>
      <c r="S1851" s="57"/>
      <c r="T1851" s="57"/>
      <c r="U1851" s="57"/>
      <c r="V1851" s="57"/>
      <c r="W1851" s="57"/>
      <c r="X1851" s="57"/>
      <c r="Y1851" s="57"/>
      <c r="Z1851" s="57"/>
      <c r="AA1851" s="57"/>
      <c r="AB1851" s="57"/>
      <c r="AC1851" s="57"/>
      <c r="AD1851" s="57"/>
      <c r="AE1851" s="57"/>
      <c r="AF1851" s="57"/>
    </row>
    <row r="1852" spans="1:32" x14ac:dyDescent="0.2">
      <c r="A1852" s="57"/>
      <c r="B1852" s="57"/>
      <c r="C1852" s="57"/>
      <c r="D1852" s="57"/>
      <c r="E1852" s="57"/>
      <c r="F1852" s="985"/>
      <c r="G1852" s="57"/>
      <c r="H1852" s="57"/>
      <c r="I1852" s="990"/>
      <c r="J1852" s="57"/>
      <c r="K1852" s="57"/>
      <c r="L1852" s="57"/>
      <c r="M1852" s="57"/>
      <c r="N1852" s="57"/>
      <c r="O1852" s="57"/>
      <c r="P1852" s="57"/>
      <c r="Q1852" s="57"/>
      <c r="R1852" s="57"/>
      <c r="S1852" s="57"/>
      <c r="T1852" s="57"/>
      <c r="U1852" s="57"/>
      <c r="V1852" s="57"/>
      <c r="W1852" s="57"/>
      <c r="X1852" s="57"/>
      <c r="Y1852" s="57"/>
      <c r="Z1852" s="57"/>
      <c r="AA1852" s="57"/>
      <c r="AB1852" s="57"/>
      <c r="AC1852" s="57"/>
      <c r="AD1852" s="57"/>
      <c r="AE1852" s="57"/>
      <c r="AF1852" s="57"/>
    </row>
    <row r="1853" spans="1:32" x14ac:dyDescent="0.2">
      <c r="A1853" s="57"/>
      <c r="B1853" s="57"/>
      <c r="C1853" s="57"/>
      <c r="D1853" s="57"/>
      <c r="E1853" s="57"/>
      <c r="F1853" s="985"/>
      <c r="G1853" s="57"/>
      <c r="H1853" s="57"/>
      <c r="I1853" s="990"/>
      <c r="J1853" s="57"/>
      <c r="K1853" s="57"/>
      <c r="L1853" s="57"/>
      <c r="M1853" s="57"/>
      <c r="N1853" s="57"/>
      <c r="O1853" s="57"/>
      <c r="P1853" s="57"/>
      <c r="Q1853" s="57"/>
      <c r="R1853" s="57"/>
      <c r="S1853" s="57"/>
      <c r="T1853" s="57"/>
      <c r="U1853" s="57"/>
      <c r="V1853" s="57"/>
      <c r="W1853" s="57"/>
      <c r="X1853" s="57"/>
      <c r="Y1853" s="57"/>
      <c r="Z1853" s="57"/>
      <c r="AA1853" s="57"/>
      <c r="AB1853" s="57"/>
      <c r="AC1853" s="57"/>
      <c r="AD1853" s="57"/>
      <c r="AE1853" s="57"/>
      <c r="AF1853" s="57"/>
    </row>
    <row r="1854" spans="1:32" x14ac:dyDescent="0.2">
      <c r="A1854" s="57"/>
      <c r="B1854" s="57"/>
      <c r="C1854" s="57"/>
      <c r="D1854" s="57"/>
      <c r="E1854" s="57"/>
      <c r="F1854" s="985"/>
      <c r="G1854" s="57"/>
      <c r="H1854" s="57"/>
      <c r="I1854" s="990"/>
      <c r="J1854" s="57"/>
      <c r="K1854" s="57"/>
      <c r="L1854" s="57"/>
      <c r="M1854" s="57"/>
      <c r="N1854" s="57"/>
      <c r="O1854" s="57"/>
      <c r="P1854" s="57"/>
      <c r="Q1854" s="57"/>
      <c r="R1854" s="57"/>
      <c r="S1854" s="57"/>
      <c r="T1854" s="57"/>
      <c r="U1854" s="57"/>
      <c r="V1854" s="57"/>
      <c r="W1854" s="57"/>
      <c r="X1854" s="57"/>
      <c r="Y1854" s="57"/>
      <c r="Z1854" s="57"/>
      <c r="AA1854" s="57"/>
      <c r="AB1854" s="57"/>
      <c r="AC1854" s="57"/>
      <c r="AD1854" s="57"/>
      <c r="AE1854" s="57"/>
      <c r="AF1854" s="57"/>
    </row>
    <row r="1855" spans="1:32" x14ac:dyDescent="0.2">
      <c r="A1855" s="57"/>
      <c r="B1855" s="57"/>
      <c r="C1855" s="57"/>
      <c r="D1855" s="57"/>
      <c r="E1855" s="57"/>
      <c r="F1855" s="985"/>
      <c r="G1855" s="57"/>
      <c r="H1855" s="57"/>
      <c r="I1855" s="990"/>
      <c r="J1855" s="57"/>
      <c r="K1855" s="57"/>
      <c r="L1855" s="57"/>
      <c r="M1855" s="57"/>
      <c r="N1855" s="57"/>
      <c r="O1855" s="57"/>
      <c r="P1855" s="57"/>
      <c r="Q1855" s="57"/>
      <c r="R1855" s="57"/>
      <c r="S1855" s="57"/>
      <c r="T1855" s="57"/>
      <c r="U1855" s="57"/>
      <c r="V1855" s="57"/>
      <c r="W1855" s="57"/>
      <c r="X1855" s="57"/>
      <c r="Y1855" s="57"/>
      <c r="Z1855" s="57"/>
      <c r="AA1855" s="57"/>
      <c r="AB1855" s="57"/>
      <c r="AC1855" s="57"/>
      <c r="AD1855" s="57"/>
      <c r="AE1855" s="57"/>
      <c r="AF1855" s="57"/>
    </row>
    <row r="1856" spans="1:32" x14ac:dyDescent="0.2">
      <c r="A1856" s="57"/>
      <c r="B1856" s="57"/>
      <c r="C1856" s="57"/>
      <c r="D1856" s="57"/>
      <c r="E1856" s="57"/>
      <c r="F1856" s="985"/>
      <c r="G1856" s="57"/>
      <c r="H1856" s="57"/>
      <c r="I1856" s="990"/>
      <c r="J1856" s="57"/>
      <c r="K1856" s="57"/>
      <c r="L1856" s="57"/>
      <c r="M1856" s="57"/>
      <c r="N1856" s="57"/>
      <c r="O1856" s="57"/>
      <c r="P1856" s="57"/>
      <c r="Q1856" s="57"/>
      <c r="R1856" s="57"/>
      <c r="S1856" s="57"/>
      <c r="T1856" s="57"/>
      <c r="U1856" s="57"/>
      <c r="V1856" s="57"/>
      <c r="W1856" s="57"/>
      <c r="X1856" s="57"/>
      <c r="Y1856" s="57"/>
      <c r="Z1856" s="57"/>
      <c r="AA1856" s="57"/>
      <c r="AB1856" s="57"/>
      <c r="AC1856" s="57"/>
      <c r="AD1856" s="57"/>
      <c r="AE1856" s="57"/>
      <c r="AF1856" s="57"/>
    </row>
    <row r="1857" spans="1:32" x14ac:dyDescent="0.2">
      <c r="A1857" s="57"/>
      <c r="B1857" s="57"/>
      <c r="C1857" s="57"/>
      <c r="D1857" s="57"/>
      <c r="E1857" s="57"/>
      <c r="F1857" s="985"/>
      <c r="G1857" s="57"/>
      <c r="H1857" s="57"/>
      <c r="I1857" s="990"/>
      <c r="J1857" s="57"/>
      <c r="K1857" s="57"/>
      <c r="L1857" s="57"/>
      <c r="M1857" s="57"/>
      <c r="N1857" s="57"/>
      <c r="O1857" s="57"/>
      <c r="P1857" s="57"/>
      <c r="Q1857" s="57"/>
      <c r="R1857" s="57"/>
      <c r="S1857" s="57"/>
      <c r="T1857" s="57"/>
      <c r="U1857" s="57"/>
      <c r="V1857" s="57"/>
      <c r="W1857" s="57"/>
      <c r="X1857" s="57"/>
      <c r="Y1857" s="57"/>
      <c r="Z1857" s="57"/>
      <c r="AA1857" s="57"/>
      <c r="AB1857" s="57"/>
      <c r="AC1857" s="57"/>
      <c r="AD1857" s="57"/>
      <c r="AE1857" s="57"/>
      <c r="AF1857" s="57"/>
    </row>
    <row r="1858" spans="1:32" x14ac:dyDescent="0.2">
      <c r="A1858" s="57"/>
      <c r="B1858" s="57"/>
      <c r="C1858" s="57"/>
      <c r="D1858" s="57"/>
      <c r="E1858" s="57"/>
      <c r="F1858" s="985"/>
      <c r="G1858" s="57"/>
      <c r="H1858" s="57"/>
      <c r="I1858" s="990"/>
      <c r="J1858" s="57"/>
      <c r="K1858" s="57"/>
      <c r="L1858" s="57"/>
      <c r="M1858" s="57"/>
      <c r="N1858" s="57"/>
      <c r="O1858" s="57"/>
      <c r="P1858" s="57"/>
      <c r="Q1858" s="57"/>
      <c r="R1858" s="57"/>
      <c r="S1858" s="57"/>
      <c r="T1858" s="57"/>
      <c r="U1858" s="57"/>
      <c r="V1858" s="57"/>
      <c r="W1858" s="57"/>
      <c r="X1858" s="57"/>
      <c r="Y1858" s="57"/>
      <c r="Z1858" s="57"/>
      <c r="AA1858" s="57"/>
      <c r="AB1858" s="57"/>
      <c r="AC1858" s="57"/>
      <c r="AD1858" s="57"/>
      <c r="AE1858" s="57"/>
      <c r="AF1858" s="57"/>
    </row>
    <row r="1859" spans="1:32" x14ac:dyDescent="0.2">
      <c r="A1859" s="57"/>
      <c r="B1859" s="57"/>
      <c r="C1859" s="57"/>
      <c r="D1859" s="57"/>
      <c r="E1859" s="57"/>
      <c r="F1859" s="985"/>
      <c r="G1859" s="57"/>
      <c r="H1859" s="57"/>
      <c r="I1859" s="990"/>
      <c r="J1859" s="57"/>
      <c r="K1859" s="57"/>
      <c r="L1859" s="57"/>
      <c r="M1859" s="57"/>
      <c r="N1859" s="57"/>
      <c r="O1859" s="57"/>
      <c r="P1859" s="57"/>
      <c r="Q1859" s="57"/>
      <c r="R1859" s="57"/>
      <c r="S1859" s="57"/>
      <c r="T1859" s="57"/>
      <c r="U1859" s="57"/>
      <c r="V1859" s="57"/>
      <c r="W1859" s="57"/>
      <c r="X1859" s="57"/>
      <c r="Y1859" s="57"/>
      <c r="Z1859" s="57"/>
      <c r="AA1859" s="57"/>
      <c r="AB1859" s="57"/>
      <c r="AC1859" s="57"/>
      <c r="AD1859" s="57"/>
      <c r="AE1859" s="57"/>
      <c r="AF1859" s="57"/>
    </row>
    <row r="1860" spans="1:32" x14ac:dyDescent="0.2">
      <c r="A1860" s="57"/>
      <c r="B1860" s="57"/>
      <c r="C1860" s="57"/>
      <c r="D1860" s="57"/>
      <c r="E1860" s="57"/>
      <c r="F1860" s="985"/>
      <c r="G1860" s="57"/>
      <c r="H1860" s="57"/>
      <c r="I1860" s="990"/>
      <c r="J1860" s="57"/>
      <c r="K1860" s="57"/>
      <c r="L1860" s="57"/>
      <c r="M1860" s="57"/>
      <c r="N1860" s="57"/>
      <c r="O1860" s="57"/>
      <c r="P1860" s="57"/>
      <c r="Q1860" s="57"/>
      <c r="R1860" s="57"/>
      <c r="S1860" s="57"/>
      <c r="T1860" s="57"/>
      <c r="U1860" s="57"/>
      <c r="V1860" s="57"/>
      <c r="W1860" s="57"/>
      <c r="X1860" s="57"/>
      <c r="Y1860" s="57"/>
      <c r="Z1860" s="57"/>
      <c r="AA1860" s="57"/>
      <c r="AB1860" s="57"/>
      <c r="AC1860" s="57"/>
      <c r="AD1860" s="57"/>
      <c r="AE1860" s="57"/>
      <c r="AF1860" s="57"/>
    </row>
    <row r="1861" spans="1:32" x14ac:dyDescent="0.2">
      <c r="A1861" s="57"/>
      <c r="B1861" s="57"/>
      <c r="C1861" s="57"/>
      <c r="D1861" s="57"/>
      <c r="E1861" s="57"/>
      <c r="F1861" s="985"/>
      <c r="G1861" s="57"/>
      <c r="H1861" s="57"/>
      <c r="I1861" s="990"/>
      <c r="J1861" s="57"/>
      <c r="K1861" s="57"/>
      <c r="L1861" s="57"/>
      <c r="M1861" s="57"/>
      <c r="N1861" s="57"/>
      <c r="O1861" s="57"/>
      <c r="P1861" s="57"/>
      <c r="Q1861" s="57"/>
      <c r="R1861" s="57"/>
      <c r="S1861" s="57"/>
      <c r="T1861" s="57"/>
      <c r="U1861" s="57"/>
      <c r="V1861" s="57"/>
      <c r="W1861" s="57"/>
      <c r="X1861" s="57"/>
      <c r="Y1861" s="57"/>
      <c r="Z1861" s="57"/>
      <c r="AA1861" s="57"/>
      <c r="AB1861" s="57"/>
      <c r="AC1861" s="57"/>
      <c r="AD1861" s="57"/>
      <c r="AE1861" s="57"/>
      <c r="AF1861" s="57"/>
    </row>
    <row r="1862" spans="1:32" x14ac:dyDescent="0.2">
      <c r="A1862" s="57"/>
      <c r="B1862" s="57"/>
      <c r="C1862" s="57"/>
      <c r="D1862" s="57"/>
      <c r="E1862" s="57"/>
      <c r="F1862" s="985"/>
      <c r="G1862" s="57"/>
      <c r="H1862" s="57"/>
      <c r="I1862" s="990"/>
      <c r="J1862" s="57"/>
      <c r="K1862" s="57"/>
      <c r="L1862" s="57"/>
      <c r="M1862" s="57"/>
      <c r="N1862" s="57"/>
      <c r="O1862" s="57"/>
      <c r="P1862" s="57"/>
      <c r="Q1862" s="57"/>
      <c r="R1862" s="57"/>
      <c r="S1862" s="57"/>
      <c r="T1862" s="57"/>
      <c r="U1862" s="57"/>
      <c r="V1862" s="57"/>
      <c r="W1862" s="57"/>
      <c r="X1862" s="57"/>
      <c r="Y1862" s="57"/>
      <c r="Z1862" s="57"/>
      <c r="AA1862" s="57"/>
      <c r="AB1862" s="57"/>
      <c r="AC1862" s="57"/>
      <c r="AD1862" s="57"/>
      <c r="AE1862" s="57"/>
      <c r="AF1862" s="57"/>
    </row>
    <row r="1863" spans="1:32" x14ac:dyDescent="0.2">
      <c r="A1863" s="57"/>
      <c r="B1863" s="57"/>
      <c r="C1863" s="57"/>
      <c r="D1863" s="57"/>
      <c r="E1863" s="57"/>
      <c r="F1863" s="985"/>
      <c r="G1863" s="57"/>
      <c r="H1863" s="57"/>
      <c r="I1863" s="990"/>
      <c r="J1863" s="57"/>
      <c r="K1863" s="57"/>
      <c r="L1863" s="57"/>
      <c r="M1863" s="57"/>
      <c r="N1863" s="57"/>
      <c r="O1863" s="57"/>
      <c r="P1863" s="57"/>
      <c r="Q1863" s="57"/>
      <c r="R1863" s="57"/>
      <c r="S1863" s="57"/>
      <c r="T1863" s="57"/>
      <c r="U1863" s="57"/>
      <c r="V1863" s="57"/>
      <c r="W1863" s="57"/>
      <c r="X1863" s="57"/>
      <c r="Y1863" s="57"/>
      <c r="Z1863" s="57"/>
      <c r="AA1863" s="57"/>
      <c r="AB1863" s="57"/>
      <c r="AC1863" s="57"/>
      <c r="AD1863" s="57"/>
      <c r="AE1863" s="57"/>
      <c r="AF1863" s="57"/>
    </row>
    <row r="1864" spans="1:32" x14ac:dyDescent="0.2">
      <c r="A1864" s="57"/>
      <c r="B1864" s="57"/>
      <c r="C1864" s="57"/>
      <c r="D1864" s="57"/>
      <c r="E1864" s="57"/>
      <c r="F1864" s="985"/>
      <c r="G1864" s="57"/>
      <c r="H1864" s="57"/>
      <c r="I1864" s="990"/>
      <c r="J1864" s="57"/>
      <c r="K1864" s="57"/>
      <c r="L1864" s="57"/>
      <c r="M1864" s="57"/>
      <c r="N1864" s="57"/>
      <c r="O1864" s="57"/>
      <c r="P1864" s="57"/>
      <c r="Q1864" s="57"/>
      <c r="R1864" s="57"/>
      <c r="S1864" s="57"/>
      <c r="T1864" s="57"/>
      <c r="U1864" s="57"/>
      <c r="V1864" s="57"/>
      <c r="W1864" s="57"/>
      <c r="X1864" s="57"/>
      <c r="Y1864" s="57"/>
      <c r="Z1864" s="57"/>
      <c r="AA1864" s="57"/>
      <c r="AB1864" s="57"/>
      <c r="AC1864" s="57"/>
      <c r="AD1864" s="57"/>
      <c r="AE1864" s="57"/>
      <c r="AF1864" s="57"/>
    </row>
    <row r="1865" spans="1:32" x14ac:dyDescent="0.2">
      <c r="A1865" s="57"/>
      <c r="B1865" s="57"/>
      <c r="C1865" s="57"/>
      <c r="D1865" s="57"/>
      <c r="E1865" s="57"/>
      <c r="F1865" s="985"/>
      <c r="G1865" s="57"/>
      <c r="H1865" s="57"/>
      <c r="I1865" s="990"/>
      <c r="J1865" s="57"/>
      <c r="K1865" s="57"/>
      <c r="L1865" s="57"/>
      <c r="M1865" s="57"/>
      <c r="N1865" s="57"/>
      <c r="O1865" s="57"/>
      <c r="P1865" s="57"/>
      <c r="Q1865" s="57"/>
      <c r="R1865" s="57"/>
      <c r="S1865" s="57"/>
      <c r="T1865" s="57"/>
      <c r="U1865" s="57"/>
      <c r="V1865" s="57"/>
      <c r="W1865" s="57"/>
      <c r="X1865" s="57"/>
      <c r="Y1865" s="57"/>
      <c r="Z1865" s="57"/>
      <c r="AA1865" s="57"/>
      <c r="AB1865" s="57"/>
      <c r="AC1865" s="57"/>
      <c r="AD1865" s="57"/>
      <c r="AE1865" s="57"/>
      <c r="AF1865" s="57"/>
    </row>
    <row r="1866" spans="1:32" x14ac:dyDescent="0.2">
      <c r="A1866" s="57"/>
      <c r="B1866" s="57"/>
      <c r="C1866" s="57"/>
      <c r="D1866" s="57"/>
      <c r="E1866" s="57"/>
      <c r="F1866" s="985"/>
      <c r="G1866" s="57"/>
      <c r="H1866" s="57"/>
      <c r="I1866" s="990"/>
      <c r="J1866" s="57"/>
      <c r="K1866" s="57"/>
      <c r="L1866" s="57"/>
      <c r="M1866" s="57"/>
      <c r="N1866" s="57"/>
      <c r="O1866" s="57"/>
      <c r="P1866" s="57"/>
      <c r="Q1866" s="57"/>
      <c r="R1866" s="57"/>
      <c r="S1866" s="57"/>
      <c r="T1866" s="57"/>
      <c r="U1866" s="57"/>
      <c r="V1866" s="57"/>
      <c r="W1866" s="57"/>
      <c r="X1866" s="57"/>
      <c r="Y1866" s="57"/>
      <c r="Z1866" s="57"/>
      <c r="AA1866" s="57"/>
      <c r="AB1866" s="57"/>
      <c r="AC1866" s="57"/>
      <c r="AD1866" s="57"/>
      <c r="AE1866" s="57"/>
      <c r="AF1866" s="57"/>
    </row>
    <row r="1867" spans="1:32" x14ac:dyDescent="0.2">
      <c r="A1867" s="57"/>
      <c r="B1867" s="57"/>
      <c r="C1867" s="57"/>
      <c r="D1867" s="57"/>
      <c r="E1867" s="57"/>
      <c r="F1867" s="985"/>
      <c r="G1867" s="57"/>
      <c r="H1867" s="57"/>
      <c r="I1867" s="990"/>
      <c r="J1867" s="57"/>
      <c r="K1867" s="57"/>
      <c r="L1867" s="57"/>
      <c r="M1867" s="57"/>
      <c r="N1867" s="57"/>
      <c r="O1867" s="57"/>
      <c r="P1867" s="57"/>
      <c r="Q1867" s="57"/>
      <c r="R1867" s="57"/>
      <c r="S1867" s="57"/>
      <c r="T1867" s="57"/>
      <c r="U1867" s="57"/>
      <c r="V1867" s="57"/>
      <c r="W1867" s="57"/>
      <c r="X1867" s="57"/>
      <c r="Y1867" s="57"/>
      <c r="Z1867" s="57"/>
      <c r="AA1867" s="57"/>
      <c r="AB1867" s="57"/>
      <c r="AC1867" s="57"/>
      <c r="AD1867" s="57"/>
      <c r="AE1867" s="57"/>
      <c r="AF1867" s="57"/>
    </row>
    <row r="1868" spans="1:32" x14ac:dyDescent="0.2">
      <c r="A1868" s="57"/>
      <c r="B1868" s="57"/>
      <c r="C1868" s="57"/>
      <c r="D1868" s="57"/>
      <c r="E1868" s="57"/>
      <c r="F1868" s="985"/>
      <c r="G1868" s="57"/>
      <c r="H1868" s="57"/>
      <c r="I1868" s="990"/>
      <c r="J1868" s="57"/>
      <c r="K1868" s="57"/>
      <c r="L1868" s="57"/>
      <c r="M1868" s="57"/>
      <c r="N1868" s="57"/>
      <c r="O1868" s="57"/>
      <c r="P1868" s="57"/>
      <c r="Q1868" s="57"/>
      <c r="R1868" s="57"/>
      <c r="S1868" s="57"/>
      <c r="T1868" s="57"/>
      <c r="U1868" s="57"/>
      <c r="V1868" s="57"/>
      <c r="W1868" s="57"/>
      <c r="X1868" s="57"/>
      <c r="Y1868" s="57"/>
      <c r="Z1868" s="57"/>
      <c r="AA1868" s="57"/>
      <c r="AB1868" s="57"/>
      <c r="AC1868" s="57"/>
      <c r="AD1868" s="57"/>
      <c r="AE1868" s="57"/>
      <c r="AF1868" s="57"/>
    </row>
    <row r="1869" spans="1:32" x14ac:dyDescent="0.2">
      <c r="A1869" s="57"/>
      <c r="B1869" s="57"/>
      <c r="C1869" s="57"/>
      <c r="D1869" s="57"/>
      <c r="E1869" s="57"/>
      <c r="F1869" s="985"/>
      <c r="G1869" s="57"/>
      <c r="H1869" s="57"/>
      <c r="I1869" s="990"/>
      <c r="J1869" s="57"/>
      <c r="K1869" s="57"/>
      <c r="L1869" s="57"/>
      <c r="M1869" s="57"/>
      <c r="N1869" s="57"/>
      <c r="O1869" s="57"/>
      <c r="P1869" s="57"/>
      <c r="Q1869" s="57"/>
      <c r="R1869" s="57"/>
      <c r="S1869" s="57"/>
      <c r="T1869" s="57"/>
      <c r="U1869" s="57"/>
      <c r="V1869" s="57"/>
      <c r="W1869" s="57"/>
      <c r="X1869" s="57"/>
      <c r="Y1869" s="57"/>
      <c r="Z1869" s="57"/>
      <c r="AA1869" s="57"/>
      <c r="AB1869" s="57"/>
      <c r="AC1869" s="57"/>
      <c r="AD1869" s="57"/>
      <c r="AE1869" s="57"/>
      <c r="AF1869" s="57"/>
    </row>
    <row r="1870" spans="1:32" x14ac:dyDescent="0.2">
      <c r="A1870" s="57"/>
      <c r="B1870" s="57"/>
      <c r="C1870" s="57"/>
      <c r="D1870" s="57"/>
      <c r="E1870" s="57"/>
      <c r="F1870" s="985"/>
      <c r="G1870" s="57"/>
      <c r="H1870" s="57"/>
      <c r="I1870" s="990"/>
      <c r="J1870" s="57"/>
      <c r="K1870" s="57"/>
      <c r="L1870" s="57"/>
      <c r="M1870" s="57"/>
      <c r="N1870" s="57"/>
      <c r="O1870" s="57"/>
      <c r="P1870" s="57"/>
      <c r="Q1870" s="57"/>
      <c r="R1870" s="57"/>
      <c r="S1870" s="57"/>
      <c r="T1870" s="57"/>
      <c r="U1870" s="57"/>
      <c r="V1870" s="57"/>
      <c r="W1870" s="57"/>
      <c r="X1870" s="57"/>
      <c r="Y1870" s="57"/>
      <c r="Z1870" s="57"/>
      <c r="AA1870" s="57"/>
      <c r="AB1870" s="57"/>
      <c r="AC1870" s="57"/>
      <c r="AD1870" s="57"/>
      <c r="AE1870" s="57"/>
      <c r="AF1870" s="57"/>
    </row>
    <row r="1871" spans="1:32" x14ac:dyDescent="0.2">
      <c r="A1871" s="57"/>
      <c r="B1871" s="57"/>
      <c r="C1871" s="57"/>
      <c r="D1871" s="57"/>
      <c r="E1871" s="57"/>
      <c r="F1871" s="985"/>
      <c r="G1871" s="57"/>
      <c r="H1871" s="57"/>
      <c r="I1871" s="990"/>
      <c r="J1871" s="57"/>
      <c r="K1871" s="57"/>
      <c r="L1871" s="57"/>
      <c r="M1871" s="57"/>
      <c r="N1871" s="57"/>
      <c r="O1871" s="57"/>
      <c r="P1871" s="57"/>
      <c r="Q1871" s="57"/>
      <c r="R1871" s="57"/>
      <c r="S1871" s="57"/>
      <c r="T1871" s="57"/>
      <c r="U1871" s="57"/>
      <c r="V1871" s="57"/>
      <c r="W1871" s="57"/>
      <c r="X1871" s="57"/>
      <c r="Y1871" s="57"/>
      <c r="Z1871" s="57"/>
      <c r="AA1871" s="57"/>
      <c r="AB1871" s="57"/>
      <c r="AC1871" s="57"/>
      <c r="AD1871" s="57"/>
      <c r="AE1871" s="57"/>
      <c r="AF1871" s="57"/>
    </row>
    <row r="1872" spans="1:32" x14ac:dyDescent="0.2">
      <c r="A1872" s="57"/>
      <c r="B1872" s="57"/>
      <c r="C1872" s="57"/>
      <c r="D1872" s="57"/>
      <c r="E1872" s="57"/>
      <c r="F1872" s="985"/>
      <c r="G1872" s="57"/>
      <c r="H1872" s="57"/>
      <c r="I1872" s="990"/>
      <c r="J1872" s="57"/>
      <c r="K1872" s="57"/>
      <c r="L1872" s="57"/>
      <c r="M1872" s="57"/>
      <c r="N1872" s="57"/>
      <c r="O1872" s="57"/>
      <c r="P1872" s="57"/>
      <c r="Q1872" s="57"/>
      <c r="R1872" s="57"/>
      <c r="S1872" s="57"/>
      <c r="T1872" s="57"/>
      <c r="U1872" s="57"/>
      <c r="V1872" s="57"/>
      <c r="W1872" s="57"/>
      <c r="X1872" s="57"/>
      <c r="Y1872" s="57"/>
      <c r="Z1872" s="57"/>
      <c r="AA1872" s="57"/>
      <c r="AB1872" s="57"/>
      <c r="AC1872" s="57"/>
      <c r="AD1872" s="57"/>
      <c r="AE1872" s="57"/>
      <c r="AF1872" s="57"/>
    </row>
    <row r="1873" spans="1:32" x14ac:dyDescent="0.2">
      <c r="A1873" s="57"/>
      <c r="B1873" s="57"/>
      <c r="C1873" s="57"/>
      <c r="D1873" s="57"/>
      <c r="E1873" s="57"/>
      <c r="F1873" s="985"/>
      <c r="G1873" s="57"/>
      <c r="H1873" s="57"/>
      <c r="I1873" s="990"/>
      <c r="J1873" s="57"/>
      <c r="K1873" s="57"/>
      <c r="L1873" s="57"/>
      <c r="M1873" s="57"/>
      <c r="N1873" s="57"/>
      <c r="O1873" s="57"/>
      <c r="P1873" s="57"/>
      <c r="Q1873" s="57"/>
      <c r="R1873" s="57"/>
      <c r="S1873" s="57"/>
      <c r="T1873" s="57"/>
      <c r="U1873" s="57"/>
      <c r="V1873" s="57"/>
      <c r="W1873" s="57"/>
      <c r="X1873" s="57"/>
      <c r="Y1873" s="57"/>
      <c r="Z1873" s="57"/>
      <c r="AA1873" s="57"/>
      <c r="AB1873" s="57"/>
      <c r="AC1873" s="57"/>
      <c r="AD1873" s="57"/>
      <c r="AE1873" s="57"/>
      <c r="AF1873" s="57"/>
    </row>
    <row r="1874" spans="1:32" x14ac:dyDescent="0.2">
      <c r="A1874" s="57"/>
      <c r="B1874" s="57"/>
      <c r="C1874" s="57"/>
      <c r="D1874" s="57"/>
      <c r="E1874" s="57"/>
      <c r="F1874" s="985"/>
      <c r="G1874" s="57"/>
      <c r="H1874" s="57"/>
      <c r="I1874" s="990"/>
      <c r="J1874" s="57"/>
      <c r="K1874" s="57"/>
      <c r="L1874" s="57"/>
      <c r="M1874" s="57"/>
      <c r="N1874" s="57"/>
      <c r="O1874" s="57"/>
      <c r="P1874" s="57"/>
      <c r="Q1874" s="57"/>
      <c r="R1874" s="57"/>
      <c r="S1874" s="57"/>
      <c r="T1874" s="57"/>
      <c r="U1874" s="57"/>
      <c r="V1874" s="57"/>
      <c r="W1874" s="57"/>
      <c r="X1874" s="57"/>
      <c r="Y1874" s="57"/>
      <c r="Z1874" s="57"/>
      <c r="AA1874" s="57"/>
      <c r="AB1874" s="57"/>
      <c r="AC1874" s="57"/>
      <c r="AD1874" s="57"/>
      <c r="AE1874" s="57"/>
      <c r="AF1874" s="57"/>
    </row>
    <row r="1875" spans="1:32" x14ac:dyDescent="0.2">
      <c r="A1875" s="57"/>
      <c r="B1875" s="57"/>
      <c r="C1875" s="57"/>
      <c r="D1875" s="57"/>
      <c r="E1875" s="57"/>
      <c r="F1875" s="985"/>
      <c r="G1875" s="57"/>
      <c r="H1875" s="57"/>
      <c r="I1875" s="990"/>
      <c r="J1875" s="57"/>
      <c r="K1875" s="57"/>
      <c r="L1875" s="57"/>
      <c r="M1875" s="57"/>
      <c r="N1875" s="57"/>
      <c r="O1875" s="57"/>
      <c r="P1875" s="57"/>
      <c r="Q1875" s="57"/>
      <c r="R1875" s="57"/>
      <c r="S1875" s="57"/>
      <c r="T1875" s="57"/>
      <c r="U1875" s="57"/>
      <c r="V1875" s="57"/>
      <c r="W1875" s="57"/>
      <c r="X1875" s="57"/>
      <c r="Y1875" s="57"/>
      <c r="Z1875" s="57"/>
      <c r="AA1875" s="57"/>
      <c r="AB1875" s="57"/>
      <c r="AC1875" s="57"/>
      <c r="AD1875" s="57"/>
      <c r="AE1875" s="57"/>
      <c r="AF1875" s="57"/>
    </row>
    <row r="1876" spans="1:32" x14ac:dyDescent="0.2">
      <c r="A1876" s="57"/>
      <c r="B1876" s="57"/>
      <c r="C1876" s="57"/>
      <c r="D1876" s="57"/>
      <c r="E1876" s="57"/>
      <c r="F1876" s="985"/>
      <c r="G1876" s="57"/>
      <c r="H1876" s="57"/>
      <c r="I1876" s="990"/>
      <c r="J1876" s="57"/>
      <c r="K1876" s="57"/>
      <c r="L1876" s="57"/>
      <c r="M1876" s="57"/>
      <c r="N1876" s="57"/>
      <c r="O1876" s="57"/>
      <c r="P1876" s="57"/>
      <c r="Q1876" s="57"/>
      <c r="R1876" s="57"/>
      <c r="S1876" s="57"/>
      <c r="T1876" s="57"/>
      <c r="U1876" s="57"/>
      <c r="V1876" s="57"/>
      <c r="W1876" s="57"/>
      <c r="X1876" s="57"/>
      <c r="Y1876" s="57"/>
      <c r="Z1876" s="57"/>
      <c r="AA1876" s="57"/>
      <c r="AB1876" s="57"/>
      <c r="AC1876" s="57"/>
      <c r="AD1876" s="57"/>
      <c r="AE1876" s="57"/>
      <c r="AF1876" s="57"/>
    </row>
    <row r="1877" spans="1:32" x14ac:dyDescent="0.2">
      <c r="A1877" s="57"/>
      <c r="B1877" s="57"/>
      <c r="C1877" s="57"/>
      <c r="D1877" s="57"/>
      <c r="E1877" s="57"/>
      <c r="F1877" s="985"/>
      <c r="G1877" s="57"/>
      <c r="H1877" s="57"/>
      <c r="I1877" s="990"/>
      <c r="J1877" s="57"/>
      <c r="K1877" s="57"/>
      <c r="L1877" s="57"/>
      <c r="M1877" s="57"/>
      <c r="N1877" s="57"/>
      <c r="O1877" s="57"/>
      <c r="P1877" s="57"/>
      <c r="Q1877" s="57"/>
      <c r="R1877" s="57"/>
      <c r="S1877" s="57"/>
      <c r="T1877" s="57"/>
      <c r="U1877" s="57"/>
      <c r="V1877" s="57"/>
      <c r="W1877" s="57"/>
      <c r="X1877" s="57"/>
      <c r="Y1877" s="57"/>
      <c r="Z1877" s="57"/>
      <c r="AA1877" s="57"/>
      <c r="AB1877" s="57"/>
      <c r="AC1877" s="57"/>
      <c r="AD1877" s="57"/>
      <c r="AE1877" s="57"/>
      <c r="AF1877" s="57"/>
    </row>
    <row r="1878" spans="1:32" x14ac:dyDescent="0.2">
      <c r="A1878" s="57"/>
      <c r="B1878" s="57"/>
      <c r="C1878" s="57"/>
      <c r="D1878" s="57"/>
      <c r="E1878" s="57"/>
      <c r="F1878" s="985"/>
      <c r="G1878" s="57"/>
      <c r="H1878" s="57"/>
      <c r="I1878" s="990"/>
      <c r="J1878" s="57"/>
      <c r="K1878" s="57"/>
      <c r="L1878" s="57"/>
      <c r="M1878" s="57"/>
      <c r="N1878" s="57"/>
      <c r="O1878" s="57"/>
      <c r="P1878" s="57"/>
      <c r="Q1878" s="57"/>
      <c r="R1878" s="57"/>
      <c r="S1878" s="57"/>
      <c r="T1878" s="57"/>
      <c r="U1878" s="57"/>
      <c r="V1878" s="57"/>
      <c r="W1878" s="57"/>
      <c r="X1878" s="57"/>
      <c r="Y1878" s="57"/>
      <c r="Z1878" s="57"/>
      <c r="AA1878" s="57"/>
      <c r="AB1878" s="57"/>
      <c r="AC1878" s="57"/>
      <c r="AD1878" s="57"/>
      <c r="AE1878" s="57"/>
      <c r="AF1878" s="57"/>
    </row>
    <row r="1879" spans="1:32" x14ac:dyDescent="0.2">
      <c r="A1879" s="57"/>
      <c r="B1879" s="57"/>
      <c r="C1879" s="57"/>
      <c r="D1879" s="57"/>
      <c r="E1879" s="57"/>
      <c r="F1879" s="985"/>
      <c r="G1879" s="57"/>
      <c r="H1879" s="57"/>
      <c r="I1879" s="990"/>
      <c r="J1879" s="57"/>
      <c r="K1879" s="57"/>
      <c r="L1879" s="57"/>
      <c r="M1879" s="57"/>
      <c r="N1879" s="57"/>
      <c r="O1879" s="57"/>
      <c r="P1879" s="57"/>
      <c r="Q1879" s="57"/>
      <c r="R1879" s="57"/>
      <c r="S1879" s="57"/>
      <c r="T1879" s="57"/>
      <c r="U1879" s="57"/>
      <c r="V1879" s="57"/>
      <c r="W1879" s="57"/>
      <c r="X1879" s="57"/>
      <c r="Y1879" s="57"/>
      <c r="Z1879" s="57"/>
      <c r="AA1879" s="57"/>
      <c r="AB1879" s="57"/>
      <c r="AC1879" s="57"/>
      <c r="AD1879" s="57"/>
      <c r="AE1879" s="57"/>
      <c r="AF1879" s="57"/>
    </row>
    <row r="1880" spans="1:32" x14ac:dyDescent="0.2">
      <c r="A1880" s="57"/>
      <c r="B1880" s="57"/>
      <c r="C1880" s="57"/>
      <c r="D1880" s="57"/>
      <c r="E1880" s="57"/>
      <c r="F1880" s="985"/>
      <c r="G1880" s="57"/>
      <c r="H1880" s="57"/>
      <c r="I1880" s="990"/>
      <c r="J1880" s="57"/>
      <c r="K1880" s="57"/>
      <c r="L1880" s="57"/>
      <c r="M1880" s="57"/>
      <c r="N1880" s="57"/>
      <c r="O1880" s="57"/>
      <c r="P1880" s="57"/>
      <c r="Q1880" s="57"/>
      <c r="R1880" s="57"/>
      <c r="S1880" s="57"/>
      <c r="T1880" s="57"/>
      <c r="U1880" s="57"/>
      <c r="V1880" s="57"/>
      <c r="W1880" s="57"/>
      <c r="X1880" s="57"/>
      <c r="Y1880" s="57"/>
      <c r="Z1880" s="57"/>
      <c r="AA1880" s="57"/>
      <c r="AB1880" s="57"/>
      <c r="AC1880" s="57"/>
      <c r="AD1880" s="57"/>
      <c r="AE1880" s="57"/>
      <c r="AF1880" s="57"/>
    </row>
    <row r="1881" spans="1:32" x14ac:dyDescent="0.2">
      <c r="A1881" s="57"/>
      <c r="B1881" s="57"/>
      <c r="C1881" s="57"/>
      <c r="D1881" s="57"/>
      <c r="E1881" s="57"/>
      <c r="F1881" s="985"/>
      <c r="G1881" s="57"/>
      <c r="H1881" s="57"/>
      <c r="I1881" s="990"/>
      <c r="J1881" s="57"/>
      <c r="K1881" s="57"/>
      <c r="L1881" s="57"/>
      <c r="M1881" s="57"/>
      <c r="N1881" s="57"/>
      <c r="O1881" s="57"/>
      <c r="P1881" s="57"/>
      <c r="Q1881" s="57"/>
      <c r="R1881" s="57"/>
      <c r="S1881" s="57"/>
      <c r="T1881" s="57"/>
      <c r="U1881" s="57"/>
      <c r="V1881" s="57"/>
      <c r="W1881" s="57"/>
      <c r="X1881" s="57"/>
      <c r="Y1881" s="57"/>
      <c r="Z1881" s="57"/>
      <c r="AA1881" s="57"/>
      <c r="AB1881" s="57"/>
      <c r="AC1881" s="57"/>
      <c r="AD1881" s="57"/>
      <c r="AE1881" s="57"/>
      <c r="AF1881" s="57"/>
    </row>
    <row r="1882" spans="1:32" x14ac:dyDescent="0.2">
      <c r="A1882" s="57"/>
      <c r="B1882" s="57"/>
      <c r="C1882" s="57"/>
      <c r="D1882" s="57"/>
      <c r="E1882" s="57"/>
      <c r="F1882" s="985"/>
      <c r="G1882" s="57"/>
      <c r="H1882" s="57"/>
      <c r="I1882" s="990"/>
      <c r="J1882" s="57"/>
      <c r="K1882" s="57"/>
      <c r="L1882" s="57"/>
      <c r="M1882" s="57"/>
      <c r="N1882" s="57"/>
      <c r="O1882" s="57"/>
      <c r="P1882" s="57"/>
      <c r="Q1882" s="57"/>
      <c r="R1882" s="57"/>
      <c r="S1882" s="57"/>
      <c r="T1882" s="57"/>
      <c r="U1882" s="57"/>
      <c r="V1882" s="57"/>
      <c r="W1882" s="57"/>
      <c r="X1882" s="57"/>
      <c r="Y1882" s="57"/>
      <c r="Z1882" s="57"/>
      <c r="AA1882" s="57"/>
      <c r="AB1882" s="57"/>
      <c r="AC1882" s="57"/>
      <c r="AD1882" s="57"/>
      <c r="AE1882" s="57"/>
      <c r="AF1882" s="57"/>
    </row>
    <row r="1883" spans="1:32" x14ac:dyDescent="0.2">
      <c r="A1883" s="57"/>
      <c r="B1883" s="57"/>
      <c r="C1883" s="57"/>
      <c r="D1883" s="57"/>
      <c r="E1883" s="57"/>
      <c r="F1883" s="985"/>
      <c r="G1883" s="57"/>
      <c r="H1883" s="57"/>
      <c r="I1883" s="990"/>
      <c r="J1883" s="57"/>
      <c r="K1883" s="57"/>
      <c r="L1883" s="57"/>
      <c r="M1883" s="57"/>
      <c r="N1883" s="57"/>
      <c r="O1883" s="57"/>
      <c r="P1883" s="57"/>
      <c r="Q1883" s="57"/>
      <c r="R1883" s="57"/>
      <c r="S1883" s="57"/>
      <c r="T1883" s="57"/>
      <c r="U1883" s="57"/>
      <c r="V1883" s="57"/>
      <c r="W1883" s="57"/>
      <c r="X1883" s="57"/>
      <c r="Y1883" s="57"/>
      <c r="Z1883" s="57"/>
      <c r="AA1883" s="57"/>
      <c r="AB1883" s="57"/>
      <c r="AC1883" s="57"/>
      <c r="AD1883" s="57"/>
      <c r="AE1883" s="57"/>
      <c r="AF1883" s="57"/>
    </row>
    <row r="1884" spans="1:32" x14ac:dyDescent="0.2">
      <c r="A1884" s="57"/>
      <c r="B1884" s="57"/>
      <c r="C1884" s="57"/>
      <c r="D1884" s="57"/>
      <c r="E1884" s="57"/>
      <c r="F1884" s="985"/>
      <c r="G1884" s="57"/>
      <c r="H1884" s="57"/>
      <c r="I1884" s="990"/>
      <c r="J1884" s="57"/>
      <c r="K1884" s="57"/>
      <c r="L1884" s="57"/>
      <c r="M1884" s="57"/>
      <c r="N1884" s="57"/>
      <c r="O1884" s="57"/>
      <c r="P1884" s="57"/>
      <c r="Q1884" s="57"/>
      <c r="R1884" s="57"/>
      <c r="S1884" s="57"/>
      <c r="T1884" s="57"/>
      <c r="U1884" s="57"/>
      <c r="V1884" s="57"/>
      <c r="W1884" s="57"/>
      <c r="X1884" s="57"/>
      <c r="Y1884" s="57"/>
      <c r="Z1884" s="57"/>
      <c r="AA1884" s="57"/>
      <c r="AB1884" s="57"/>
      <c r="AC1884" s="57"/>
      <c r="AD1884" s="57"/>
      <c r="AE1884" s="57"/>
      <c r="AF1884" s="57"/>
    </row>
    <row r="1885" spans="1:32" x14ac:dyDescent="0.2">
      <c r="A1885" s="57"/>
      <c r="B1885" s="57"/>
      <c r="C1885" s="57"/>
      <c r="D1885" s="57"/>
      <c r="E1885" s="57"/>
      <c r="F1885" s="985"/>
      <c r="G1885" s="57"/>
      <c r="H1885" s="57"/>
      <c r="I1885" s="990"/>
      <c r="J1885" s="57"/>
      <c r="K1885" s="57"/>
      <c r="L1885" s="57"/>
      <c r="M1885" s="57"/>
      <c r="N1885" s="57"/>
      <c r="O1885" s="57"/>
      <c r="P1885" s="57"/>
      <c r="Q1885" s="57"/>
      <c r="R1885" s="57"/>
      <c r="S1885" s="57"/>
      <c r="T1885" s="57"/>
      <c r="U1885" s="57"/>
      <c r="V1885" s="57"/>
      <c r="W1885" s="57"/>
      <c r="X1885" s="57"/>
      <c r="Y1885" s="57"/>
      <c r="Z1885" s="57"/>
      <c r="AA1885" s="57"/>
      <c r="AB1885" s="57"/>
      <c r="AC1885" s="57"/>
      <c r="AD1885" s="57"/>
      <c r="AE1885" s="57"/>
      <c r="AF1885" s="57"/>
    </row>
    <row r="1886" spans="1:32" x14ac:dyDescent="0.2">
      <c r="A1886" s="57"/>
      <c r="B1886" s="57"/>
      <c r="C1886" s="57"/>
      <c r="D1886" s="57"/>
      <c r="E1886" s="57"/>
      <c r="F1886" s="985"/>
      <c r="G1886" s="57"/>
      <c r="H1886" s="57"/>
      <c r="I1886" s="990"/>
      <c r="J1886" s="57"/>
      <c r="K1886" s="57"/>
      <c r="L1886" s="57"/>
      <c r="M1886" s="57"/>
      <c r="N1886" s="57"/>
      <c r="O1886" s="57"/>
      <c r="P1886" s="57"/>
      <c r="Q1886" s="57"/>
      <c r="R1886" s="57"/>
      <c r="S1886" s="57"/>
      <c r="T1886" s="57"/>
      <c r="U1886" s="57"/>
      <c r="V1886" s="57"/>
      <c r="W1886" s="57"/>
      <c r="X1886" s="57"/>
      <c r="Y1886" s="57"/>
      <c r="Z1886" s="57"/>
      <c r="AA1886" s="57"/>
      <c r="AB1886" s="57"/>
      <c r="AC1886" s="57"/>
      <c r="AD1886" s="57"/>
      <c r="AE1886" s="57"/>
      <c r="AF1886" s="57"/>
    </row>
    <row r="1887" spans="1:32" x14ac:dyDescent="0.2">
      <c r="A1887" s="57"/>
      <c r="B1887" s="57"/>
      <c r="C1887" s="57"/>
      <c r="D1887" s="57"/>
      <c r="E1887" s="57"/>
      <c r="F1887" s="985"/>
      <c r="G1887" s="57"/>
      <c r="H1887" s="57"/>
      <c r="I1887" s="990"/>
      <c r="J1887" s="57"/>
      <c r="K1887" s="57"/>
      <c r="L1887" s="57"/>
      <c r="M1887" s="57"/>
      <c r="N1887" s="57"/>
      <c r="O1887" s="57"/>
      <c r="P1887" s="57"/>
      <c r="Q1887" s="57"/>
      <c r="R1887" s="57"/>
      <c r="S1887" s="57"/>
      <c r="T1887" s="57"/>
      <c r="U1887" s="57"/>
      <c r="V1887" s="57"/>
      <c r="W1887" s="57"/>
      <c r="X1887" s="57"/>
      <c r="Y1887" s="57"/>
      <c r="Z1887" s="57"/>
      <c r="AA1887" s="57"/>
      <c r="AB1887" s="57"/>
      <c r="AC1887" s="57"/>
      <c r="AD1887" s="57"/>
      <c r="AE1887" s="57"/>
      <c r="AF1887" s="57"/>
    </row>
    <row r="1888" spans="1:32" x14ac:dyDescent="0.2">
      <c r="A1888" s="57"/>
      <c r="B1888" s="57"/>
      <c r="C1888" s="57"/>
      <c r="D1888" s="57"/>
      <c r="E1888" s="57"/>
      <c r="F1888" s="985"/>
      <c r="G1888" s="57"/>
      <c r="H1888" s="57"/>
      <c r="I1888" s="990"/>
      <c r="J1888" s="57"/>
      <c r="K1888" s="57"/>
      <c r="L1888" s="57"/>
      <c r="M1888" s="57"/>
      <c r="N1888" s="57"/>
      <c r="O1888" s="57"/>
      <c r="P1888" s="57"/>
      <c r="Q1888" s="57"/>
      <c r="R1888" s="57"/>
      <c r="S1888" s="57"/>
      <c r="T1888" s="57"/>
      <c r="U1888" s="57"/>
      <c r="V1888" s="57"/>
      <c r="W1888" s="57"/>
      <c r="X1888" s="57"/>
      <c r="Y1888" s="57"/>
      <c r="Z1888" s="57"/>
      <c r="AA1888" s="57"/>
      <c r="AB1888" s="57"/>
      <c r="AC1888" s="57"/>
      <c r="AD1888" s="57"/>
      <c r="AE1888" s="57"/>
      <c r="AF1888" s="57"/>
    </row>
    <row r="1889" spans="1:32" x14ac:dyDescent="0.2">
      <c r="A1889" s="57"/>
      <c r="B1889" s="57"/>
      <c r="C1889" s="57"/>
      <c r="D1889" s="57"/>
      <c r="E1889" s="57"/>
      <c r="F1889" s="985"/>
      <c r="G1889" s="57"/>
      <c r="H1889" s="57"/>
      <c r="I1889" s="990"/>
      <c r="J1889" s="57"/>
      <c r="K1889" s="57"/>
      <c r="L1889" s="57"/>
      <c r="M1889" s="57"/>
      <c r="N1889" s="57"/>
      <c r="O1889" s="57"/>
      <c r="P1889" s="57"/>
      <c r="Q1889" s="57"/>
      <c r="R1889" s="57"/>
      <c r="S1889" s="57"/>
      <c r="T1889" s="57"/>
      <c r="U1889" s="57"/>
      <c r="V1889" s="57"/>
      <c r="W1889" s="57"/>
      <c r="X1889" s="57"/>
      <c r="Y1889" s="57"/>
      <c r="Z1889" s="57"/>
      <c r="AA1889" s="57"/>
      <c r="AB1889" s="57"/>
      <c r="AC1889" s="57"/>
      <c r="AD1889" s="57"/>
      <c r="AE1889" s="57"/>
      <c r="AF1889" s="57"/>
    </row>
    <row r="1890" spans="1:32" x14ac:dyDescent="0.2">
      <c r="A1890" s="57"/>
      <c r="B1890" s="57"/>
      <c r="C1890" s="57"/>
      <c r="D1890" s="57"/>
      <c r="E1890" s="57"/>
      <c r="F1890" s="985"/>
      <c r="G1890" s="57"/>
      <c r="H1890" s="57"/>
      <c r="I1890" s="990"/>
      <c r="J1890" s="57"/>
      <c r="K1890" s="57"/>
      <c r="L1890" s="57"/>
      <c r="M1890" s="57"/>
      <c r="N1890" s="57"/>
      <c r="O1890" s="57"/>
      <c r="P1890" s="57"/>
      <c r="Q1890" s="57"/>
      <c r="R1890" s="57"/>
      <c r="S1890" s="57"/>
      <c r="T1890" s="57"/>
      <c r="U1890" s="57"/>
      <c r="V1890" s="57"/>
      <c r="W1890" s="57"/>
      <c r="X1890" s="57"/>
      <c r="Y1890" s="57"/>
      <c r="Z1890" s="57"/>
      <c r="AA1890" s="57"/>
      <c r="AB1890" s="57"/>
      <c r="AC1890" s="57"/>
      <c r="AD1890" s="57"/>
      <c r="AE1890" s="57"/>
      <c r="AF1890" s="57"/>
    </row>
    <row r="1891" spans="1:32" x14ac:dyDescent="0.2">
      <c r="A1891" s="57"/>
      <c r="B1891" s="57"/>
      <c r="C1891" s="57"/>
      <c r="D1891" s="57"/>
      <c r="E1891" s="57"/>
      <c r="F1891" s="985"/>
      <c r="G1891" s="57"/>
      <c r="H1891" s="57"/>
      <c r="I1891" s="990"/>
      <c r="J1891" s="57"/>
      <c r="K1891" s="57"/>
      <c r="L1891" s="57"/>
      <c r="M1891" s="57"/>
      <c r="N1891" s="57"/>
      <c r="O1891" s="57"/>
      <c r="P1891" s="57"/>
      <c r="Q1891" s="57"/>
      <c r="R1891" s="57"/>
      <c r="S1891" s="57"/>
      <c r="T1891" s="57"/>
      <c r="U1891" s="57"/>
      <c r="V1891" s="57"/>
      <c r="W1891" s="57"/>
      <c r="X1891" s="57"/>
      <c r="Y1891" s="57"/>
      <c r="Z1891" s="57"/>
      <c r="AA1891" s="57"/>
      <c r="AB1891" s="57"/>
      <c r="AC1891" s="57"/>
      <c r="AD1891" s="57"/>
      <c r="AE1891" s="57"/>
      <c r="AF1891" s="57"/>
    </row>
    <row r="1892" spans="1:32" x14ac:dyDescent="0.2">
      <c r="A1892" s="57"/>
      <c r="B1892" s="57"/>
      <c r="C1892" s="57"/>
      <c r="D1892" s="57"/>
      <c r="E1892" s="57"/>
      <c r="F1892" s="985"/>
      <c r="G1892" s="57"/>
      <c r="H1892" s="57"/>
      <c r="I1892" s="990"/>
      <c r="J1892" s="57"/>
      <c r="K1892" s="57"/>
      <c r="L1892" s="57"/>
      <c r="M1892" s="57"/>
      <c r="N1892" s="57"/>
      <c r="O1892" s="57"/>
      <c r="P1892" s="57"/>
      <c r="Q1892" s="57"/>
      <c r="R1892" s="57"/>
      <c r="S1892" s="57"/>
      <c r="T1892" s="57"/>
      <c r="U1892" s="57"/>
      <c r="V1892" s="57"/>
      <c r="W1892" s="57"/>
      <c r="X1892" s="57"/>
      <c r="Y1892" s="57"/>
      <c r="Z1892" s="57"/>
      <c r="AA1892" s="57"/>
      <c r="AB1892" s="57"/>
      <c r="AC1892" s="57"/>
      <c r="AD1892" s="57"/>
      <c r="AE1892" s="57"/>
      <c r="AF1892" s="57"/>
    </row>
    <row r="1893" spans="1:32" x14ac:dyDescent="0.2">
      <c r="A1893" s="57"/>
      <c r="B1893" s="57"/>
      <c r="C1893" s="57"/>
      <c r="D1893" s="57"/>
      <c r="E1893" s="57"/>
      <c r="F1893" s="985"/>
      <c r="G1893" s="57"/>
      <c r="H1893" s="57"/>
      <c r="I1893" s="990"/>
      <c r="J1893" s="57"/>
      <c r="K1893" s="57"/>
      <c r="L1893" s="57"/>
      <c r="M1893" s="57"/>
      <c r="N1893" s="57"/>
      <c r="O1893" s="57"/>
      <c r="P1893" s="57"/>
      <c r="Q1893" s="57"/>
      <c r="R1893" s="57"/>
      <c r="S1893" s="57"/>
      <c r="T1893" s="57"/>
      <c r="U1893" s="57"/>
      <c r="V1893" s="57"/>
      <c r="W1893" s="57"/>
      <c r="X1893" s="57"/>
      <c r="Y1893" s="57"/>
      <c r="Z1893" s="57"/>
      <c r="AA1893" s="57"/>
      <c r="AB1893" s="57"/>
      <c r="AC1893" s="57"/>
      <c r="AD1893" s="57"/>
      <c r="AE1893" s="57"/>
      <c r="AF1893" s="57"/>
    </row>
    <row r="1894" spans="1:32" x14ac:dyDescent="0.2">
      <c r="A1894" s="57"/>
      <c r="B1894" s="57"/>
      <c r="C1894" s="57"/>
      <c r="D1894" s="57"/>
      <c r="E1894" s="57"/>
      <c r="F1894" s="985"/>
      <c r="G1894" s="57"/>
      <c r="H1894" s="57"/>
      <c r="I1894" s="990"/>
      <c r="J1894" s="57"/>
      <c r="K1894" s="57"/>
      <c r="L1894" s="57"/>
      <c r="M1894" s="57"/>
      <c r="N1894" s="57"/>
      <c r="O1894" s="57"/>
      <c r="P1894" s="57"/>
      <c r="Q1894" s="57"/>
      <c r="R1894" s="57"/>
      <c r="S1894" s="57"/>
      <c r="T1894" s="57"/>
      <c r="U1894" s="57"/>
      <c r="V1894" s="57"/>
      <c r="W1894" s="57"/>
      <c r="X1894" s="57"/>
      <c r="Y1894" s="57"/>
      <c r="Z1894" s="57"/>
      <c r="AA1894" s="57"/>
      <c r="AB1894" s="57"/>
      <c r="AC1894" s="57"/>
      <c r="AD1894" s="57"/>
      <c r="AE1894" s="57"/>
      <c r="AF1894" s="57"/>
    </row>
    <row r="1895" spans="1:32" x14ac:dyDescent="0.2">
      <c r="A1895" s="57"/>
      <c r="B1895" s="57"/>
      <c r="C1895" s="57"/>
      <c r="D1895" s="57"/>
      <c r="E1895" s="57"/>
      <c r="F1895" s="985"/>
      <c r="G1895" s="57"/>
      <c r="H1895" s="57"/>
      <c r="I1895" s="990"/>
      <c r="J1895" s="57"/>
      <c r="K1895" s="57"/>
      <c r="L1895" s="57"/>
      <c r="M1895" s="57"/>
      <c r="N1895" s="57"/>
      <c r="O1895" s="57"/>
      <c r="P1895" s="57"/>
      <c r="Q1895" s="57"/>
      <c r="R1895" s="57"/>
      <c r="S1895" s="57"/>
      <c r="T1895" s="57"/>
      <c r="U1895" s="57"/>
      <c r="V1895" s="57"/>
      <c r="W1895" s="57"/>
      <c r="X1895" s="57"/>
      <c r="Y1895" s="57"/>
      <c r="Z1895" s="57"/>
      <c r="AA1895" s="57"/>
      <c r="AB1895" s="57"/>
      <c r="AC1895" s="57"/>
      <c r="AD1895" s="57"/>
      <c r="AE1895" s="57"/>
      <c r="AF1895" s="57"/>
    </row>
    <row r="1896" spans="1:32" x14ac:dyDescent="0.2">
      <c r="A1896" s="57"/>
      <c r="B1896" s="57"/>
      <c r="C1896" s="57"/>
      <c r="D1896" s="57"/>
      <c r="E1896" s="57"/>
      <c r="F1896" s="985"/>
      <c r="G1896" s="57"/>
      <c r="H1896" s="57"/>
      <c r="I1896" s="990"/>
      <c r="J1896" s="57"/>
      <c r="K1896" s="57"/>
      <c r="L1896" s="57"/>
      <c r="M1896" s="57"/>
      <c r="N1896" s="57"/>
      <c r="O1896" s="57"/>
      <c r="P1896" s="57"/>
      <c r="Q1896" s="57"/>
      <c r="R1896" s="57"/>
      <c r="S1896" s="57"/>
      <c r="T1896" s="57"/>
      <c r="U1896" s="57"/>
      <c r="V1896" s="57"/>
      <c r="W1896" s="57"/>
      <c r="X1896" s="57"/>
      <c r="Y1896" s="57"/>
      <c r="Z1896" s="57"/>
      <c r="AA1896" s="57"/>
      <c r="AB1896" s="57"/>
      <c r="AC1896" s="57"/>
      <c r="AD1896" s="57"/>
      <c r="AE1896" s="57"/>
      <c r="AF1896" s="57"/>
    </row>
    <row r="1897" spans="1:32" x14ac:dyDescent="0.2">
      <c r="A1897" s="57"/>
      <c r="B1897" s="57"/>
      <c r="C1897" s="57"/>
      <c r="D1897" s="57"/>
      <c r="E1897" s="57"/>
      <c r="F1897" s="985"/>
      <c r="G1897" s="57"/>
      <c r="H1897" s="57"/>
      <c r="I1897" s="990"/>
      <c r="J1897" s="57"/>
      <c r="K1897" s="57"/>
      <c r="L1897" s="57"/>
      <c r="M1897" s="57"/>
      <c r="N1897" s="57"/>
      <c r="O1897" s="57"/>
      <c r="P1897" s="57"/>
      <c r="Q1897" s="57"/>
      <c r="R1897" s="57"/>
      <c r="S1897" s="57"/>
      <c r="T1897" s="57"/>
      <c r="U1897" s="57"/>
      <c r="V1897" s="57"/>
      <c r="W1897" s="57"/>
      <c r="X1897" s="57"/>
      <c r="Y1897" s="57"/>
      <c r="Z1897" s="57"/>
      <c r="AA1897" s="57"/>
      <c r="AB1897" s="57"/>
      <c r="AC1897" s="57"/>
      <c r="AD1897" s="57"/>
      <c r="AE1897" s="57"/>
      <c r="AF1897" s="57"/>
    </row>
    <row r="1898" spans="1:32" x14ac:dyDescent="0.2">
      <c r="A1898" s="57"/>
      <c r="B1898" s="57"/>
      <c r="C1898" s="57"/>
      <c r="D1898" s="57"/>
      <c r="E1898" s="57"/>
      <c r="F1898" s="985"/>
      <c r="G1898" s="57"/>
      <c r="H1898" s="57"/>
      <c r="I1898" s="990"/>
      <c r="J1898" s="57"/>
      <c r="K1898" s="57"/>
      <c r="L1898" s="57"/>
      <c r="M1898" s="57"/>
      <c r="N1898" s="57"/>
      <c r="O1898" s="57"/>
      <c r="P1898" s="57"/>
      <c r="Q1898" s="57"/>
      <c r="R1898" s="57"/>
      <c r="S1898" s="57"/>
      <c r="T1898" s="57"/>
      <c r="U1898" s="57"/>
      <c r="V1898" s="57"/>
      <c r="W1898" s="57"/>
      <c r="X1898" s="57"/>
      <c r="Y1898" s="57"/>
      <c r="Z1898" s="57"/>
      <c r="AA1898" s="57"/>
      <c r="AB1898" s="57"/>
      <c r="AC1898" s="57"/>
      <c r="AD1898" s="57"/>
      <c r="AE1898" s="57"/>
      <c r="AF1898" s="57"/>
    </row>
    <row r="1899" spans="1:32" x14ac:dyDescent="0.2">
      <c r="A1899" s="57"/>
      <c r="B1899" s="57"/>
      <c r="C1899" s="57"/>
      <c r="D1899" s="57"/>
      <c r="E1899" s="57"/>
      <c r="F1899" s="985"/>
      <c r="G1899" s="57"/>
      <c r="H1899" s="57"/>
      <c r="I1899" s="990"/>
      <c r="J1899" s="57"/>
      <c r="K1899" s="57"/>
      <c r="L1899" s="57"/>
      <c r="M1899" s="57"/>
      <c r="N1899" s="57"/>
      <c r="O1899" s="57"/>
      <c r="P1899" s="57"/>
      <c r="Q1899" s="57"/>
      <c r="R1899" s="57"/>
      <c r="S1899" s="57"/>
      <c r="T1899" s="57"/>
      <c r="U1899" s="57"/>
      <c r="V1899" s="57"/>
      <c r="W1899" s="57"/>
      <c r="X1899" s="57"/>
      <c r="Y1899" s="57"/>
      <c r="Z1899" s="57"/>
      <c r="AA1899" s="57"/>
      <c r="AB1899" s="57"/>
      <c r="AC1899" s="57"/>
      <c r="AD1899" s="57"/>
      <c r="AE1899" s="57"/>
      <c r="AF1899" s="57"/>
    </row>
    <row r="1900" spans="1:32" x14ac:dyDescent="0.2">
      <c r="A1900" s="57"/>
      <c r="B1900" s="57"/>
      <c r="C1900" s="57"/>
      <c r="D1900" s="57"/>
      <c r="E1900" s="57"/>
      <c r="F1900" s="985"/>
      <c r="G1900" s="57"/>
      <c r="H1900" s="57"/>
      <c r="I1900" s="990"/>
      <c r="J1900" s="57"/>
      <c r="K1900" s="57"/>
      <c r="L1900" s="57"/>
      <c r="M1900" s="57"/>
      <c r="N1900" s="57"/>
      <c r="O1900" s="57"/>
      <c r="P1900" s="57"/>
      <c r="Q1900" s="57"/>
      <c r="R1900" s="57"/>
      <c r="S1900" s="57"/>
      <c r="T1900" s="57"/>
      <c r="U1900" s="57"/>
      <c r="V1900" s="57"/>
      <c r="W1900" s="57"/>
      <c r="X1900" s="57"/>
      <c r="Y1900" s="57"/>
      <c r="Z1900" s="57"/>
      <c r="AA1900" s="57"/>
      <c r="AB1900" s="57"/>
      <c r="AC1900" s="57"/>
      <c r="AD1900" s="57"/>
      <c r="AE1900" s="57"/>
      <c r="AF1900" s="57"/>
    </row>
    <row r="1901" spans="1:32" x14ac:dyDescent="0.2">
      <c r="A1901" s="57"/>
      <c r="B1901" s="57"/>
      <c r="C1901" s="57"/>
      <c r="D1901" s="57"/>
      <c r="E1901" s="57"/>
      <c r="F1901" s="985"/>
      <c r="G1901" s="57"/>
      <c r="H1901" s="57"/>
      <c r="I1901" s="990"/>
      <c r="J1901" s="57"/>
      <c r="K1901" s="57"/>
      <c r="L1901" s="57"/>
      <c r="M1901" s="57"/>
      <c r="N1901" s="57"/>
      <c r="O1901" s="57"/>
      <c r="P1901" s="57"/>
      <c r="Q1901" s="57"/>
      <c r="R1901" s="57"/>
      <c r="S1901" s="57"/>
      <c r="T1901" s="57"/>
      <c r="U1901" s="57"/>
      <c r="V1901" s="57"/>
      <c r="W1901" s="57"/>
      <c r="X1901" s="57"/>
      <c r="Y1901" s="57"/>
      <c r="Z1901" s="57"/>
      <c r="AA1901" s="57"/>
      <c r="AB1901" s="57"/>
      <c r="AC1901" s="57"/>
      <c r="AD1901" s="57"/>
      <c r="AE1901" s="57"/>
      <c r="AF1901" s="57"/>
    </row>
    <row r="1902" spans="1:32" x14ac:dyDescent="0.2">
      <c r="A1902" s="57"/>
      <c r="B1902" s="57"/>
      <c r="C1902" s="57"/>
      <c r="D1902" s="57"/>
      <c r="E1902" s="57"/>
      <c r="F1902" s="985"/>
      <c r="G1902" s="57"/>
      <c r="H1902" s="57"/>
      <c r="I1902" s="990"/>
      <c r="J1902" s="57"/>
      <c r="K1902" s="57"/>
      <c r="L1902" s="57"/>
      <c r="M1902" s="57"/>
      <c r="N1902" s="57"/>
      <c r="O1902" s="57"/>
      <c r="P1902" s="57"/>
      <c r="Q1902" s="57"/>
      <c r="R1902" s="57"/>
      <c r="S1902" s="57"/>
      <c r="T1902" s="57"/>
      <c r="U1902" s="57"/>
      <c r="V1902" s="57"/>
      <c r="W1902" s="57"/>
      <c r="X1902" s="57"/>
      <c r="Y1902" s="57"/>
      <c r="Z1902" s="57"/>
      <c r="AA1902" s="57"/>
      <c r="AB1902" s="57"/>
      <c r="AC1902" s="57"/>
      <c r="AD1902" s="57"/>
      <c r="AE1902" s="57"/>
      <c r="AF1902" s="57"/>
    </row>
    <row r="1903" spans="1:32" x14ac:dyDescent="0.2">
      <c r="A1903" s="57"/>
      <c r="B1903" s="57"/>
      <c r="C1903" s="57"/>
      <c r="D1903" s="57"/>
      <c r="E1903" s="57"/>
      <c r="F1903" s="985"/>
      <c r="G1903" s="57"/>
      <c r="H1903" s="57"/>
      <c r="I1903" s="990"/>
      <c r="J1903" s="57"/>
      <c r="K1903" s="57"/>
      <c r="L1903" s="57"/>
      <c r="M1903" s="57"/>
      <c r="N1903" s="57"/>
      <c r="O1903" s="57"/>
      <c r="P1903" s="57"/>
      <c r="Q1903" s="57"/>
      <c r="R1903" s="57"/>
      <c r="S1903" s="57"/>
      <c r="T1903" s="57"/>
      <c r="U1903" s="57"/>
      <c r="V1903" s="57"/>
      <c r="W1903" s="57"/>
      <c r="X1903" s="57"/>
      <c r="Y1903" s="57"/>
      <c r="Z1903" s="57"/>
      <c r="AA1903" s="57"/>
      <c r="AB1903" s="57"/>
      <c r="AC1903" s="57"/>
      <c r="AD1903" s="57"/>
      <c r="AE1903" s="57"/>
      <c r="AF1903" s="57"/>
    </row>
    <row r="1904" spans="1:32" x14ac:dyDescent="0.2">
      <c r="A1904" s="57"/>
      <c r="B1904" s="57"/>
      <c r="C1904" s="57"/>
      <c r="D1904" s="57"/>
      <c r="E1904" s="57"/>
      <c r="F1904" s="985"/>
      <c r="G1904" s="57"/>
      <c r="H1904" s="57"/>
      <c r="I1904" s="990"/>
      <c r="J1904" s="57"/>
      <c r="K1904" s="57"/>
      <c r="L1904" s="57"/>
      <c r="M1904" s="57"/>
      <c r="N1904" s="57"/>
      <c r="O1904" s="57"/>
      <c r="P1904" s="57"/>
      <c r="Q1904" s="57"/>
      <c r="R1904" s="57"/>
      <c r="S1904" s="57"/>
      <c r="T1904" s="57"/>
      <c r="U1904" s="57"/>
      <c r="V1904" s="57"/>
      <c r="W1904" s="57"/>
      <c r="X1904" s="57"/>
      <c r="Y1904" s="57"/>
      <c r="Z1904" s="57"/>
      <c r="AA1904" s="57"/>
      <c r="AB1904" s="57"/>
      <c r="AC1904" s="57"/>
      <c r="AD1904" s="57"/>
      <c r="AE1904" s="57"/>
      <c r="AF1904" s="57"/>
    </row>
    <row r="1905" spans="1:32" x14ac:dyDescent="0.2">
      <c r="A1905" s="57"/>
      <c r="B1905" s="57"/>
      <c r="C1905" s="57"/>
      <c r="D1905" s="57"/>
      <c r="E1905" s="57"/>
      <c r="F1905" s="985"/>
      <c r="G1905" s="57"/>
      <c r="H1905" s="57"/>
      <c r="I1905" s="990"/>
      <c r="J1905" s="57"/>
      <c r="K1905" s="57"/>
      <c r="L1905" s="57"/>
      <c r="M1905" s="57"/>
      <c r="N1905" s="57"/>
      <c r="O1905" s="57"/>
      <c r="P1905" s="57"/>
      <c r="Q1905" s="57"/>
      <c r="R1905" s="57"/>
      <c r="S1905" s="57"/>
      <c r="T1905" s="57"/>
      <c r="U1905" s="57"/>
      <c r="V1905" s="57"/>
      <c r="W1905" s="57"/>
      <c r="X1905" s="57"/>
      <c r="Y1905" s="57"/>
      <c r="Z1905" s="57"/>
      <c r="AA1905" s="57"/>
      <c r="AB1905" s="57"/>
      <c r="AC1905" s="57"/>
      <c r="AD1905" s="57"/>
      <c r="AE1905" s="57"/>
      <c r="AF1905" s="57"/>
    </row>
    <row r="1906" spans="1:32" x14ac:dyDescent="0.2">
      <c r="A1906" s="57"/>
      <c r="B1906" s="57"/>
      <c r="C1906" s="57"/>
      <c r="D1906" s="57"/>
      <c r="E1906" s="57"/>
      <c r="F1906" s="985"/>
      <c r="G1906" s="57"/>
      <c r="H1906" s="57"/>
      <c r="I1906" s="990"/>
      <c r="J1906" s="57"/>
      <c r="K1906" s="57"/>
      <c r="L1906" s="57"/>
      <c r="M1906" s="57"/>
      <c r="N1906" s="57"/>
      <c r="O1906" s="57"/>
      <c r="P1906" s="57"/>
      <c r="Q1906" s="57"/>
      <c r="R1906" s="57"/>
      <c r="S1906" s="57"/>
      <c r="T1906" s="57"/>
      <c r="U1906" s="57"/>
      <c r="V1906" s="57"/>
      <c r="W1906" s="57"/>
      <c r="X1906" s="57"/>
      <c r="Y1906" s="57"/>
      <c r="Z1906" s="57"/>
      <c r="AA1906" s="57"/>
      <c r="AB1906" s="57"/>
      <c r="AC1906" s="57"/>
      <c r="AD1906" s="57"/>
      <c r="AE1906" s="57"/>
      <c r="AF1906" s="57"/>
    </row>
    <row r="1907" spans="1:32" x14ac:dyDescent="0.2">
      <c r="A1907" s="57"/>
      <c r="B1907" s="57"/>
      <c r="C1907" s="57"/>
      <c r="D1907" s="57"/>
      <c r="E1907" s="57"/>
      <c r="F1907" s="985"/>
      <c r="G1907" s="57"/>
      <c r="H1907" s="57"/>
      <c r="I1907" s="990"/>
      <c r="J1907" s="57"/>
      <c r="K1907" s="57"/>
      <c r="L1907" s="57"/>
      <c r="M1907" s="57"/>
      <c r="N1907" s="57"/>
      <c r="O1907" s="57"/>
      <c r="P1907" s="57"/>
      <c r="Q1907" s="57"/>
      <c r="R1907" s="57"/>
      <c r="S1907" s="57"/>
      <c r="T1907" s="57"/>
      <c r="U1907" s="57"/>
      <c r="V1907" s="57"/>
      <c r="W1907" s="57"/>
      <c r="X1907" s="57"/>
      <c r="Y1907" s="57"/>
      <c r="Z1907" s="57"/>
      <c r="AA1907" s="57"/>
      <c r="AB1907" s="57"/>
      <c r="AC1907" s="57"/>
      <c r="AD1907" s="57"/>
      <c r="AE1907" s="57"/>
      <c r="AF1907" s="57"/>
    </row>
    <row r="1908" spans="1:32" x14ac:dyDescent="0.2">
      <c r="A1908" s="57"/>
      <c r="B1908" s="57"/>
      <c r="C1908" s="57"/>
      <c r="D1908" s="57"/>
      <c r="E1908" s="57"/>
      <c r="F1908" s="985"/>
      <c r="G1908" s="57"/>
      <c r="H1908" s="57"/>
      <c r="I1908" s="990"/>
      <c r="J1908" s="57"/>
      <c r="K1908" s="57"/>
      <c r="L1908" s="57"/>
      <c r="M1908" s="57"/>
      <c r="N1908" s="57"/>
      <c r="O1908" s="57"/>
      <c r="P1908" s="57"/>
      <c r="Q1908" s="57"/>
      <c r="R1908" s="57"/>
      <c r="S1908" s="57"/>
      <c r="T1908" s="57"/>
      <c r="U1908" s="57"/>
      <c r="V1908" s="57"/>
      <c r="W1908" s="57"/>
      <c r="X1908" s="57"/>
      <c r="Y1908" s="57"/>
      <c r="Z1908" s="57"/>
      <c r="AA1908" s="57"/>
      <c r="AB1908" s="57"/>
      <c r="AC1908" s="57"/>
      <c r="AD1908" s="57"/>
      <c r="AE1908" s="57"/>
      <c r="AF1908" s="57"/>
    </row>
    <row r="1909" spans="1:32" x14ac:dyDescent="0.2">
      <c r="A1909" s="57"/>
      <c r="B1909" s="57"/>
      <c r="C1909" s="57"/>
      <c r="D1909" s="57"/>
      <c r="E1909" s="57"/>
      <c r="F1909" s="985"/>
      <c r="G1909" s="57"/>
      <c r="H1909" s="57"/>
      <c r="I1909" s="990"/>
      <c r="J1909" s="57"/>
      <c r="K1909" s="57"/>
      <c r="L1909" s="57"/>
      <c r="M1909" s="57"/>
      <c r="N1909" s="57"/>
      <c r="O1909" s="57"/>
      <c r="P1909" s="57"/>
      <c r="Q1909" s="57"/>
      <c r="R1909" s="57"/>
      <c r="S1909" s="57"/>
      <c r="T1909" s="57"/>
      <c r="U1909" s="57"/>
      <c r="V1909" s="57"/>
      <c r="W1909" s="57"/>
      <c r="X1909" s="57"/>
      <c r="Y1909" s="57"/>
      <c r="Z1909" s="57"/>
      <c r="AA1909" s="57"/>
      <c r="AB1909" s="57"/>
      <c r="AC1909" s="57"/>
      <c r="AD1909" s="57"/>
      <c r="AE1909" s="57"/>
      <c r="AF1909" s="57"/>
    </row>
    <row r="1910" spans="1:32" x14ac:dyDescent="0.2">
      <c r="A1910" s="57"/>
      <c r="B1910" s="57"/>
      <c r="C1910" s="57"/>
      <c r="D1910" s="57"/>
      <c r="E1910" s="57"/>
      <c r="F1910" s="985"/>
      <c r="G1910" s="57"/>
      <c r="H1910" s="57"/>
      <c r="I1910" s="990"/>
      <c r="J1910" s="57"/>
      <c r="K1910" s="57"/>
      <c r="L1910" s="57"/>
      <c r="M1910" s="57"/>
      <c r="N1910" s="57"/>
      <c r="O1910" s="57"/>
      <c r="P1910" s="57"/>
      <c r="Q1910" s="57"/>
      <c r="R1910" s="57"/>
      <c r="S1910" s="57"/>
      <c r="T1910" s="57"/>
      <c r="U1910" s="57"/>
      <c r="V1910" s="57"/>
      <c r="W1910" s="57"/>
      <c r="X1910" s="57"/>
      <c r="Y1910" s="57"/>
      <c r="Z1910" s="57"/>
      <c r="AA1910" s="57"/>
      <c r="AB1910" s="57"/>
      <c r="AC1910" s="57"/>
      <c r="AD1910" s="57"/>
      <c r="AE1910" s="57"/>
      <c r="AF1910" s="57"/>
    </row>
    <row r="1911" spans="1:32" x14ac:dyDescent="0.2">
      <c r="A1911" s="57"/>
      <c r="B1911" s="57"/>
      <c r="C1911" s="57"/>
      <c r="D1911" s="57"/>
      <c r="E1911" s="57"/>
      <c r="F1911" s="985"/>
      <c r="G1911" s="57"/>
      <c r="H1911" s="57"/>
      <c r="I1911" s="990"/>
      <c r="J1911" s="57"/>
      <c r="K1911" s="57"/>
      <c r="L1911" s="57"/>
      <c r="M1911" s="57"/>
      <c r="N1911" s="57"/>
      <c r="O1911" s="57"/>
      <c r="P1911" s="57"/>
      <c r="Q1911" s="57"/>
      <c r="R1911" s="57"/>
      <c r="S1911" s="57"/>
      <c r="T1911" s="57"/>
      <c r="U1911" s="57"/>
      <c r="V1911" s="57"/>
      <c r="W1911" s="57"/>
      <c r="X1911" s="57"/>
      <c r="Y1911" s="57"/>
      <c r="Z1911" s="57"/>
      <c r="AA1911" s="57"/>
      <c r="AB1911" s="57"/>
      <c r="AC1911" s="57"/>
      <c r="AD1911" s="57"/>
      <c r="AE1911" s="57"/>
      <c r="AF1911" s="57"/>
    </row>
    <row r="1912" spans="1:32" x14ac:dyDescent="0.2">
      <c r="A1912" s="57"/>
      <c r="B1912" s="57"/>
      <c r="C1912" s="57"/>
      <c r="D1912" s="57"/>
      <c r="E1912" s="57"/>
      <c r="F1912" s="985"/>
      <c r="G1912" s="57"/>
      <c r="H1912" s="57"/>
      <c r="I1912" s="990"/>
      <c r="J1912" s="57"/>
      <c r="K1912" s="57"/>
      <c r="L1912" s="57"/>
      <c r="M1912" s="57"/>
      <c r="N1912" s="57"/>
      <c r="O1912" s="57"/>
      <c r="P1912" s="57"/>
      <c r="Q1912" s="57"/>
      <c r="R1912" s="57"/>
      <c r="S1912" s="57"/>
      <c r="T1912" s="57"/>
      <c r="U1912" s="57"/>
      <c r="V1912" s="57"/>
      <c r="W1912" s="57"/>
      <c r="X1912" s="57"/>
      <c r="Y1912" s="57"/>
      <c r="Z1912" s="57"/>
      <c r="AA1912" s="57"/>
      <c r="AB1912" s="57"/>
      <c r="AC1912" s="57"/>
      <c r="AD1912" s="57"/>
      <c r="AE1912" s="57"/>
      <c r="AF1912" s="57"/>
    </row>
    <row r="1913" spans="1:32" x14ac:dyDescent="0.2">
      <c r="A1913" s="57"/>
      <c r="B1913" s="57"/>
      <c r="C1913" s="57"/>
      <c r="D1913" s="57"/>
      <c r="E1913" s="57"/>
      <c r="F1913" s="985"/>
      <c r="G1913" s="57"/>
      <c r="H1913" s="57"/>
      <c r="I1913" s="990"/>
      <c r="J1913" s="57"/>
      <c r="K1913" s="57"/>
      <c r="L1913" s="57"/>
      <c r="M1913" s="57"/>
      <c r="N1913" s="57"/>
      <c r="O1913" s="57"/>
      <c r="P1913" s="57"/>
      <c r="Q1913" s="57"/>
      <c r="R1913" s="57"/>
      <c r="S1913" s="57"/>
      <c r="T1913" s="57"/>
      <c r="U1913" s="57"/>
      <c r="V1913" s="57"/>
      <c r="W1913" s="57"/>
      <c r="X1913" s="57"/>
      <c r="Y1913" s="57"/>
      <c r="Z1913" s="57"/>
      <c r="AA1913" s="57"/>
      <c r="AB1913" s="57"/>
      <c r="AC1913" s="57"/>
      <c r="AD1913" s="57"/>
      <c r="AE1913" s="57"/>
      <c r="AF1913" s="57"/>
    </row>
    <row r="1914" spans="1:32" x14ac:dyDescent="0.2">
      <c r="A1914" s="57"/>
      <c r="B1914" s="57"/>
      <c r="C1914" s="57"/>
      <c r="D1914" s="57"/>
      <c r="E1914" s="57"/>
      <c r="F1914" s="985"/>
      <c r="G1914" s="57"/>
      <c r="H1914" s="57"/>
      <c r="I1914" s="990"/>
      <c r="J1914" s="57"/>
      <c r="K1914" s="57"/>
      <c r="L1914" s="57"/>
      <c r="M1914" s="57"/>
      <c r="N1914" s="57"/>
      <c r="O1914" s="57"/>
      <c r="P1914" s="57"/>
      <c r="Q1914" s="57"/>
      <c r="R1914" s="57"/>
      <c r="S1914" s="57"/>
      <c r="T1914" s="57"/>
      <c r="U1914" s="57"/>
      <c r="V1914" s="57"/>
      <c r="W1914" s="57"/>
      <c r="X1914" s="57"/>
      <c r="Y1914" s="57"/>
      <c r="Z1914" s="57"/>
      <c r="AA1914" s="57"/>
      <c r="AB1914" s="57"/>
      <c r="AC1914" s="57"/>
      <c r="AD1914" s="57"/>
      <c r="AE1914" s="57"/>
      <c r="AF1914" s="57"/>
    </row>
    <row r="1915" spans="1:32" x14ac:dyDescent="0.2">
      <c r="A1915" s="57"/>
      <c r="B1915" s="57"/>
      <c r="C1915" s="57"/>
      <c r="D1915" s="57"/>
      <c r="E1915" s="57"/>
      <c r="F1915" s="985"/>
      <c r="G1915" s="57"/>
      <c r="H1915" s="57"/>
      <c r="I1915" s="990"/>
      <c r="J1915" s="57"/>
      <c r="K1915" s="57"/>
      <c r="L1915" s="57"/>
      <c r="M1915" s="57"/>
      <c r="N1915" s="57"/>
      <c r="O1915" s="57"/>
      <c r="P1915" s="57"/>
      <c r="Q1915" s="57"/>
      <c r="R1915" s="57"/>
      <c r="S1915" s="57"/>
      <c r="T1915" s="57"/>
      <c r="U1915" s="57"/>
      <c r="V1915" s="57"/>
      <c r="W1915" s="57"/>
      <c r="X1915" s="57"/>
      <c r="Y1915" s="57"/>
      <c r="Z1915" s="57"/>
      <c r="AA1915" s="57"/>
      <c r="AB1915" s="57"/>
      <c r="AC1915" s="57"/>
      <c r="AD1915" s="57"/>
      <c r="AE1915" s="57"/>
      <c r="AF1915" s="57"/>
    </row>
    <row r="1916" spans="1:32" x14ac:dyDescent="0.2">
      <c r="A1916" s="57"/>
      <c r="B1916" s="57"/>
      <c r="C1916" s="57"/>
      <c r="D1916" s="57"/>
      <c r="E1916" s="57"/>
      <c r="F1916" s="985"/>
      <c r="G1916" s="57"/>
      <c r="H1916" s="57"/>
      <c r="I1916" s="990"/>
      <c r="J1916" s="57"/>
      <c r="K1916" s="57"/>
      <c r="L1916" s="57"/>
      <c r="M1916" s="57"/>
      <c r="N1916" s="57"/>
      <c r="O1916" s="57"/>
      <c r="P1916" s="57"/>
      <c r="Q1916" s="57"/>
      <c r="R1916" s="57"/>
      <c r="S1916" s="57"/>
      <c r="T1916" s="57"/>
      <c r="U1916" s="57"/>
      <c r="V1916" s="57"/>
      <c r="W1916" s="57"/>
      <c r="X1916" s="57"/>
      <c r="Y1916" s="57"/>
      <c r="Z1916" s="57"/>
      <c r="AA1916" s="57"/>
      <c r="AB1916" s="57"/>
      <c r="AC1916" s="57"/>
      <c r="AD1916" s="57"/>
      <c r="AE1916" s="57"/>
      <c r="AF1916" s="57"/>
    </row>
    <row r="1917" spans="1:32" x14ac:dyDescent="0.2">
      <c r="A1917" s="57"/>
      <c r="B1917" s="57"/>
      <c r="C1917" s="57"/>
      <c r="D1917" s="57"/>
      <c r="E1917" s="57"/>
      <c r="F1917" s="985"/>
      <c r="G1917" s="57"/>
      <c r="H1917" s="57"/>
      <c r="I1917" s="990"/>
      <c r="J1917" s="57"/>
      <c r="K1917" s="57"/>
      <c r="L1917" s="57"/>
      <c r="M1917" s="57"/>
      <c r="N1917" s="57"/>
      <c r="O1917" s="57"/>
      <c r="P1917" s="57"/>
      <c r="Q1917" s="57"/>
      <c r="R1917" s="57"/>
      <c r="S1917" s="57"/>
      <c r="T1917" s="57"/>
      <c r="U1917" s="57"/>
      <c r="V1917" s="57"/>
      <c r="W1917" s="57"/>
      <c r="X1917" s="57"/>
      <c r="Y1917" s="57"/>
      <c r="Z1917" s="57"/>
      <c r="AA1917" s="57"/>
      <c r="AB1917" s="57"/>
      <c r="AC1917" s="57"/>
      <c r="AD1917" s="57"/>
      <c r="AE1917" s="57"/>
      <c r="AF1917" s="57"/>
    </row>
    <row r="1918" spans="1:32" x14ac:dyDescent="0.2">
      <c r="A1918" s="57"/>
      <c r="B1918" s="57"/>
      <c r="C1918" s="57"/>
      <c r="D1918" s="57"/>
      <c r="E1918" s="57"/>
      <c r="F1918" s="985"/>
      <c r="G1918" s="57"/>
      <c r="H1918" s="57"/>
      <c r="I1918" s="990"/>
      <c r="J1918" s="57"/>
      <c r="K1918" s="57"/>
      <c r="L1918" s="57"/>
      <c r="M1918" s="57"/>
      <c r="N1918" s="57"/>
      <c r="O1918" s="57"/>
      <c r="P1918" s="57"/>
      <c r="Q1918" s="57"/>
      <c r="R1918" s="57"/>
      <c r="S1918" s="57"/>
      <c r="T1918" s="57"/>
      <c r="U1918" s="57"/>
      <c r="V1918" s="57"/>
      <c r="W1918" s="57"/>
      <c r="X1918" s="57"/>
      <c r="Y1918" s="57"/>
      <c r="Z1918" s="57"/>
      <c r="AA1918" s="57"/>
      <c r="AB1918" s="57"/>
      <c r="AC1918" s="57"/>
      <c r="AD1918" s="57"/>
      <c r="AE1918" s="57"/>
      <c r="AF1918" s="57"/>
    </row>
    <row r="1919" spans="1:32" x14ac:dyDescent="0.2">
      <c r="A1919" s="57"/>
      <c r="B1919" s="57"/>
      <c r="C1919" s="57"/>
      <c r="D1919" s="57"/>
      <c r="E1919" s="57"/>
      <c r="F1919" s="985"/>
      <c r="G1919" s="57"/>
      <c r="H1919" s="57"/>
      <c r="I1919" s="990"/>
      <c r="J1919" s="57"/>
      <c r="K1919" s="57"/>
      <c r="L1919" s="57"/>
      <c r="M1919" s="57"/>
      <c r="N1919" s="57"/>
      <c r="O1919" s="57"/>
      <c r="P1919" s="57"/>
      <c r="Q1919" s="57"/>
      <c r="R1919" s="57"/>
      <c r="S1919" s="57"/>
      <c r="T1919" s="57"/>
      <c r="U1919" s="57"/>
      <c r="V1919" s="57"/>
      <c r="W1919" s="57"/>
      <c r="X1919" s="57"/>
      <c r="Y1919" s="57"/>
      <c r="Z1919" s="57"/>
      <c r="AA1919" s="57"/>
      <c r="AB1919" s="57"/>
      <c r="AC1919" s="57"/>
      <c r="AD1919" s="57"/>
      <c r="AE1919" s="57"/>
      <c r="AF1919" s="57"/>
    </row>
    <row r="1920" spans="1:32" x14ac:dyDescent="0.2">
      <c r="A1920" s="57"/>
      <c r="B1920" s="57"/>
      <c r="C1920" s="57"/>
      <c r="D1920" s="57"/>
      <c r="E1920" s="57"/>
      <c r="F1920" s="985"/>
      <c r="G1920" s="57"/>
      <c r="H1920" s="57"/>
      <c r="I1920" s="990"/>
      <c r="J1920" s="57"/>
      <c r="K1920" s="57"/>
      <c r="L1920" s="57"/>
      <c r="M1920" s="57"/>
      <c r="N1920" s="57"/>
      <c r="O1920" s="57"/>
      <c r="P1920" s="57"/>
      <c r="Q1920" s="57"/>
      <c r="R1920" s="57"/>
      <c r="S1920" s="57"/>
      <c r="T1920" s="57"/>
      <c r="U1920" s="57"/>
      <c r="V1920" s="57"/>
      <c r="W1920" s="57"/>
      <c r="X1920" s="57"/>
      <c r="Y1920" s="57"/>
      <c r="Z1920" s="57"/>
      <c r="AA1920" s="57"/>
      <c r="AB1920" s="57"/>
      <c r="AC1920" s="57"/>
      <c r="AD1920" s="57"/>
      <c r="AE1920" s="57"/>
      <c r="AF1920" s="57"/>
    </row>
    <row r="1921" spans="1:32" x14ac:dyDescent="0.2">
      <c r="A1921" s="57"/>
      <c r="B1921" s="57"/>
      <c r="C1921" s="57"/>
      <c r="D1921" s="57"/>
      <c r="E1921" s="57"/>
      <c r="F1921" s="985"/>
      <c r="G1921" s="57"/>
      <c r="H1921" s="57"/>
      <c r="I1921" s="990"/>
      <c r="J1921" s="57"/>
      <c r="K1921" s="57"/>
      <c r="L1921" s="57"/>
      <c r="M1921" s="57"/>
      <c r="N1921" s="57"/>
      <c r="O1921" s="57"/>
      <c r="P1921" s="57"/>
      <c r="Q1921" s="57"/>
      <c r="R1921" s="57"/>
      <c r="S1921" s="57"/>
      <c r="T1921" s="57"/>
      <c r="U1921" s="57"/>
      <c r="V1921" s="57"/>
      <c r="W1921" s="57"/>
      <c r="X1921" s="57"/>
      <c r="Y1921" s="57"/>
      <c r="Z1921" s="57"/>
      <c r="AA1921" s="57"/>
      <c r="AB1921" s="57"/>
      <c r="AC1921" s="57"/>
      <c r="AD1921" s="57"/>
      <c r="AE1921" s="57"/>
      <c r="AF1921" s="57"/>
    </row>
    <row r="1922" spans="1:32" x14ac:dyDescent="0.2">
      <c r="A1922" s="57"/>
      <c r="B1922" s="57"/>
      <c r="C1922" s="57"/>
      <c r="D1922" s="57"/>
      <c r="E1922" s="57"/>
      <c r="F1922" s="985"/>
      <c r="G1922" s="57"/>
      <c r="H1922" s="57"/>
      <c r="I1922" s="990"/>
      <c r="J1922" s="57"/>
      <c r="K1922" s="57"/>
      <c r="L1922" s="57"/>
      <c r="M1922" s="57"/>
      <c r="N1922" s="57"/>
      <c r="O1922" s="57"/>
      <c r="P1922" s="57"/>
      <c r="Q1922" s="57"/>
      <c r="R1922" s="57"/>
      <c r="S1922" s="57"/>
      <c r="T1922" s="57"/>
      <c r="U1922" s="57"/>
      <c r="V1922" s="57"/>
      <c r="W1922" s="57"/>
      <c r="X1922" s="57"/>
      <c r="Y1922" s="57"/>
      <c r="Z1922" s="57"/>
      <c r="AA1922" s="57"/>
      <c r="AB1922" s="57"/>
      <c r="AC1922" s="57"/>
      <c r="AD1922" s="57"/>
      <c r="AE1922" s="57"/>
      <c r="AF1922" s="57"/>
    </row>
    <row r="1923" spans="1:32" x14ac:dyDescent="0.2">
      <c r="A1923" s="57"/>
      <c r="B1923" s="57"/>
      <c r="C1923" s="57"/>
      <c r="D1923" s="57"/>
      <c r="E1923" s="57"/>
      <c r="F1923" s="985"/>
      <c r="G1923" s="57"/>
      <c r="H1923" s="57"/>
      <c r="I1923" s="990"/>
      <c r="J1923" s="57"/>
      <c r="K1923" s="57"/>
      <c r="L1923" s="57"/>
      <c r="M1923" s="57"/>
      <c r="N1923" s="57"/>
      <c r="O1923" s="57"/>
      <c r="P1923" s="57"/>
      <c r="Q1923" s="57"/>
      <c r="R1923" s="57"/>
      <c r="S1923" s="57"/>
      <c r="T1923" s="57"/>
      <c r="U1923" s="57"/>
      <c r="V1923" s="57"/>
      <c r="W1923" s="57"/>
      <c r="X1923" s="57"/>
      <c r="Y1923" s="57"/>
      <c r="Z1923" s="57"/>
      <c r="AA1923" s="57"/>
      <c r="AB1923" s="57"/>
      <c r="AC1923" s="57"/>
      <c r="AD1923" s="57"/>
      <c r="AE1923" s="57"/>
      <c r="AF1923" s="57"/>
    </row>
    <row r="1924" spans="1:32" x14ac:dyDescent="0.2">
      <c r="A1924" s="57"/>
      <c r="B1924" s="57"/>
      <c r="C1924" s="57"/>
      <c r="D1924" s="57"/>
      <c r="E1924" s="57"/>
      <c r="F1924" s="985"/>
      <c r="G1924" s="57"/>
      <c r="H1924" s="57"/>
      <c r="I1924" s="990"/>
      <c r="J1924" s="57"/>
      <c r="K1924" s="57"/>
      <c r="L1924" s="57"/>
      <c r="M1924" s="57"/>
      <c r="N1924" s="57"/>
      <c r="O1924" s="57"/>
      <c r="P1924" s="57"/>
      <c r="Q1924" s="57"/>
      <c r="R1924" s="57"/>
      <c r="S1924" s="57"/>
      <c r="T1924" s="57"/>
      <c r="U1924" s="57"/>
      <c r="V1924" s="57"/>
      <c r="W1924" s="57"/>
      <c r="X1924" s="57"/>
      <c r="Y1924" s="57"/>
      <c r="Z1924" s="57"/>
      <c r="AA1924" s="57"/>
      <c r="AB1924" s="57"/>
      <c r="AC1924" s="57"/>
      <c r="AD1924" s="57"/>
      <c r="AE1924" s="57"/>
      <c r="AF1924" s="57"/>
    </row>
    <row r="1925" spans="1:32" x14ac:dyDescent="0.2">
      <c r="A1925" s="57"/>
      <c r="B1925" s="57"/>
      <c r="C1925" s="57"/>
      <c r="D1925" s="57"/>
      <c r="E1925" s="57"/>
      <c r="F1925" s="985"/>
      <c r="G1925" s="57"/>
      <c r="H1925" s="57"/>
      <c r="I1925" s="990"/>
      <c r="J1925" s="57"/>
      <c r="K1925" s="57"/>
      <c r="L1925" s="57"/>
      <c r="M1925" s="57"/>
      <c r="N1925" s="57"/>
      <c r="O1925" s="57"/>
      <c r="P1925" s="57"/>
      <c r="Q1925" s="57"/>
      <c r="R1925" s="57"/>
      <c r="S1925" s="57"/>
      <c r="T1925" s="57"/>
      <c r="U1925" s="57"/>
      <c r="V1925" s="57"/>
      <c r="W1925" s="57"/>
      <c r="X1925" s="57"/>
      <c r="Y1925" s="57"/>
      <c r="Z1925" s="57"/>
      <c r="AA1925" s="57"/>
      <c r="AB1925" s="57"/>
      <c r="AC1925" s="57"/>
      <c r="AD1925" s="57"/>
      <c r="AE1925" s="57"/>
      <c r="AF1925" s="57"/>
    </row>
    <row r="1926" spans="1:32" x14ac:dyDescent="0.2">
      <c r="A1926" s="57"/>
      <c r="B1926" s="57"/>
      <c r="C1926" s="57"/>
      <c r="D1926" s="57"/>
      <c r="E1926" s="57"/>
      <c r="F1926" s="985"/>
      <c r="G1926" s="57"/>
      <c r="H1926" s="57"/>
      <c r="I1926" s="990"/>
      <c r="J1926" s="57"/>
      <c r="K1926" s="57"/>
      <c r="L1926" s="57"/>
      <c r="M1926" s="57"/>
      <c r="N1926" s="57"/>
      <c r="O1926" s="57"/>
      <c r="P1926" s="57"/>
      <c r="Q1926" s="57"/>
      <c r="R1926" s="57"/>
      <c r="S1926" s="57"/>
      <c r="T1926" s="57"/>
      <c r="U1926" s="57"/>
      <c r="V1926" s="57"/>
      <c r="W1926" s="57"/>
      <c r="X1926" s="57"/>
      <c r="Y1926" s="57"/>
      <c r="Z1926" s="57"/>
      <c r="AA1926" s="57"/>
      <c r="AB1926" s="57"/>
      <c r="AC1926" s="57"/>
      <c r="AD1926" s="57"/>
      <c r="AE1926" s="57"/>
      <c r="AF1926" s="57"/>
    </row>
    <row r="1927" spans="1:32" x14ac:dyDescent="0.2">
      <c r="A1927" s="57"/>
      <c r="B1927" s="57"/>
      <c r="C1927" s="57"/>
      <c r="D1927" s="57"/>
      <c r="E1927" s="57"/>
      <c r="F1927" s="985"/>
      <c r="G1927" s="57"/>
      <c r="H1927" s="57"/>
      <c r="I1927" s="990"/>
      <c r="J1927" s="57"/>
      <c r="K1927" s="57"/>
      <c r="L1927" s="57"/>
      <c r="M1927" s="57"/>
      <c r="N1927" s="57"/>
      <c r="O1927" s="57"/>
      <c r="P1927" s="57"/>
      <c r="Q1927" s="57"/>
      <c r="R1927" s="57"/>
      <c r="S1927" s="57"/>
      <c r="T1927" s="57"/>
      <c r="U1927" s="57"/>
      <c r="V1927" s="57"/>
      <c r="W1927" s="57"/>
      <c r="X1927" s="57"/>
      <c r="Y1927" s="57"/>
      <c r="Z1927" s="57"/>
      <c r="AA1927" s="57"/>
      <c r="AB1927" s="57"/>
      <c r="AC1927" s="57"/>
      <c r="AD1927" s="57"/>
      <c r="AE1927" s="57"/>
      <c r="AF1927" s="57"/>
    </row>
    <row r="1928" spans="1:32" x14ac:dyDescent="0.2">
      <c r="A1928" s="57"/>
      <c r="B1928" s="57"/>
      <c r="C1928" s="57"/>
      <c r="D1928" s="57"/>
      <c r="E1928" s="57"/>
      <c r="F1928" s="985"/>
      <c r="G1928" s="57"/>
      <c r="H1928" s="57"/>
      <c r="I1928" s="990"/>
      <c r="J1928" s="57"/>
      <c r="K1928" s="57"/>
      <c r="L1928" s="57"/>
      <c r="M1928" s="57"/>
      <c r="N1928" s="57"/>
      <c r="O1928" s="57"/>
      <c r="P1928" s="57"/>
      <c r="Q1928" s="57"/>
      <c r="R1928" s="57"/>
      <c r="S1928" s="57"/>
      <c r="T1928" s="57"/>
      <c r="U1928" s="57"/>
      <c r="V1928" s="57"/>
      <c r="W1928" s="57"/>
      <c r="X1928" s="57"/>
      <c r="Y1928" s="57"/>
      <c r="Z1928" s="57"/>
      <c r="AA1928" s="57"/>
      <c r="AB1928" s="57"/>
      <c r="AC1928" s="57"/>
      <c r="AD1928" s="57"/>
      <c r="AE1928" s="57"/>
      <c r="AF1928" s="57"/>
    </row>
    <row r="1929" spans="1:32" x14ac:dyDescent="0.2">
      <c r="A1929" s="57"/>
      <c r="B1929" s="57"/>
      <c r="C1929" s="57"/>
      <c r="D1929" s="57"/>
      <c r="E1929" s="57"/>
      <c r="F1929" s="985"/>
      <c r="G1929" s="57"/>
      <c r="H1929" s="57"/>
      <c r="I1929" s="990"/>
      <c r="J1929" s="57"/>
      <c r="K1929" s="57"/>
      <c r="L1929" s="57"/>
      <c r="M1929" s="57"/>
      <c r="N1929" s="57"/>
      <c r="O1929" s="57"/>
      <c r="P1929" s="57"/>
      <c r="Q1929" s="57"/>
      <c r="R1929" s="57"/>
      <c r="S1929" s="57"/>
      <c r="T1929" s="57"/>
      <c r="U1929" s="57"/>
      <c r="V1929" s="57"/>
      <c r="W1929" s="57"/>
      <c r="X1929" s="57"/>
      <c r="Y1929" s="57"/>
      <c r="Z1929" s="57"/>
      <c r="AA1929" s="57"/>
      <c r="AB1929" s="57"/>
      <c r="AC1929" s="57"/>
      <c r="AD1929" s="57"/>
      <c r="AE1929" s="57"/>
      <c r="AF1929" s="57"/>
    </row>
    <row r="1930" spans="1:32" x14ac:dyDescent="0.2">
      <c r="A1930" s="57"/>
      <c r="B1930" s="57"/>
      <c r="C1930" s="57"/>
      <c r="D1930" s="57"/>
      <c r="E1930" s="57"/>
      <c r="F1930" s="985"/>
      <c r="G1930" s="57"/>
      <c r="H1930" s="57"/>
      <c r="I1930" s="990"/>
      <c r="J1930" s="57"/>
      <c r="K1930" s="57"/>
      <c r="L1930" s="57"/>
      <c r="M1930" s="57"/>
      <c r="N1930" s="57"/>
      <c r="O1930" s="57"/>
      <c r="P1930" s="57"/>
      <c r="Q1930" s="57"/>
      <c r="R1930" s="57"/>
      <c r="S1930" s="57"/>
      <c r="T1930" s="57"/>
      <c r="U1930" s="57"/>
      <c r="V1930" s="57"/>
      <c r="W1930" s="57"/>
      <c r="X1930" s="57"/>
      <c r="Y1930" s="57"/>
      <c r="Z1930" s="57"/>
      <c r="AA1930" s="57"/>
      <c r="AB1930" s="57"/>
      <c r="AC1930" s="57"/>
      <c r="AD1930" s="57"/>
      <c r="AE1930" s="57"/>
      <c r="AF1930" s="57"/>
    </row>
    <row r="1931" spans="1:32" x14ac:dyDescent="0.2">
      <c r="A1931" s="57"/>
      <c r="B1931" s="57"/>
      <c r="C1931" s="57"/>
      <c r="D1931" s="57"/>
      <c r="E1931" s="57"/>
      <c r="F1931" s="985"/>
      <c r="G1931" s="57"/>
      <c r="H1931" s="57"/>
      <c r="I1931" s="990"/>
      <c r="J1931" s="57"/>
      <c r="K1931" s="57"/>
      <c r="L1931" s="57"/>
      <c r="M1931" s="57"/>
      <c r="N1931" s="57"/>
      <c r="O1931" s="57"/>
      <c r="P1931" s="57"/>
      <c r="Q1931" s="57"/>
      <c r="R1931" s="57"/>
      <c r="S1931" s="57"/>
      <c r="T1931" s="57"/>
      <c r="U1931" s="57"/>
      <c r="V1931" s="57"/>
      <c r="W1931" s="57"/>
      <c r="X1931" s="57"/>
      <c r="Y1931" s="57"/>
      <c r="Z1931" s="57"/>
      <c r="AA1931" s="57"/>
      <c r="AB1931" s="57"/>
      <c r="AC1931" s="57"/>
      <c r="AD1931" s="57"/>
      <c r="AE1931" s="57"/>
      <c r="AF1931" s="57"/>
    </row>
    <row r="1932" spans="1:32" x14ac:dyDescent="0.2">
      <c r="A1932" s="57"/>
      <c r="B1932" s="57"/>
      <c r="C1932" s="57"/>
      <c r="D1932" s="57"/>
      <c r="E1932" s="57"/>
      <c r="F1932" s="985"/>
      <c r="G1932" s="57"/>
      <c r="H1932" s="57"/>
      <c r="I1932" s="990"/>
      <c r="J1932" s="57"/>
      <c r="K1932" s="57"/>
      <c r="L1932" s="57"/>
      <c r="M1932" s="57"/>
      <c r="N1932" s="57"/>
      <c r="O1932" s="57"/>
      <c r="P1932" s="57"/>
      <c r="Q1932" s="57"/>
      <c r="R1932" s="57"/>
      <c r="S1932" s="57"/>
      <c r="T1932" s="57"/>
      <c r="U1932" s="57"/>
      <c r="V1932" s="57"/>
      <c r="W1932" s="57"/>
      <c r="X1932" s="57"/>
      <c r="Y1932" s="57"/>
      <c r="Z1932" s="57"/>
      <c r="AA1932" s="57"/>
      <c r="AB1932" s="57"/>
      <c r="AC1932" s="57"/>
      <c r="AD1932" s="57"/>
      <c r="AE1932" s="57"/>
      <c r="AF1932" s="57"/>
    </row>
    <row r="1933" spans="1:32" x14ac:dyDescent="0.2">
      <c r="A1933" s="57"/>
      <c r="B1933" s="57"/>
      <c r="C1933" s="57"/>
      <c r="D1933" s="57"/>
      <c r="E1933" s="57"/>
      <c r="F1933" s="985"/>
      <c r="G1933" s="57"/>
      <c r="H1933" s="57"/>
      <c r="I1933" s="990"/>
      <c r="J1933" s="57"/>
      <c r="K1933" s="57"/>
      <c r="L1933" s="57"/>
      <c r="M1933" s="57"/>
      <c r="N1933" s="57"/>
      <c r="O1933" s="57"/>
      <c r="P1933" s="57"/>
      <c r="Q1933" s="57"/>
      <c r="R1933" s="57"/>
      <c r="S1933" s="57"/>
      <c r="T1933" s="57"/>
      <c r="U1933" s="57"/>
      <c r="V1933" s="57"/>
      <c r="W1933" s="57"/>
      <c r="X1933" s="57"/>
      <c r="Y1933" s="57"/>
      <c r="Z1933" s="57"/>
      <c r="AA1933" s="57"/>
      <c r="AB1933" s="57"/>
      <c r="AC1933" s="57"/>
      <c r="AD1933" s="57"/>
      <c r="AE1933" s="57"/>
      <c r="AF1933" s="57"/>
    </row>
    <row r="1934" spans="1:32" x14ac:dyDescent="0.2">
      <c r="A1934" s="57"/>
      <c r="B1934" s="57"/>
      <c r="C1934" s="57"/>
      <c r="D1934" s="57"/>
      <c r="E1934" s="57"/>
      <c r="F1934" s="985"/>
      <c r="G1934" s="57"/>
      <c r="H1934" s="57"/>
      <c r="I1934" s="990"/>
      <c r="J1934" s="57"/>
      <c r="K1934" s="57"/>
      <c r="L1934" s="57"/>
      <c r="M1934" s="57"/>
      <c r="N1934" s="57"/>
      <c r="O1934" s="57"/>
      <c r="P1934" s="57"/>
      <c r="Q1934" s="57"/>
      <c r="R1934" s="57"/>
      <c r="S1934" s="57"/>
      <c r="T1934" s="57"/>
      <c r="U1934" s="57"/>
      <c r="V1934" s="57"/>
      <c r="W1934" s="57"/>
      <c r="X1934" s="57"/>
      <c r="Y1934" s="57"/>
      <c r="Z1934" s="57"/>
      <c r="AA1934" s="57"/>
      <c r="AB1934" s="57"/>
      <c r="AC1934" s="57"/>
      <c r="AD1934" s="57"/>
      <c r="AE1934" s="57"/>
      <c r="AF1934" s="57"/>
    </row>
    <row r="1935" spans="1:32" x14ac:dyDescent="0.2">
      <c r="A1935" s="57"/>
      <c r="B1935" s="57"/>
      <c r="C1935" s="57"/>
      <c r="D1935" s="57"/>
      <c r="E1935" s="57"/>
      <c r="F1935" s="985"/>
      <c r="G1935" s="57"/>
      <c r="H1935" s="57"/>
      <c r="I1935" s="990"/>
      <c r="J1935" s="57"/>
      <c r="K1935" s="57"/>
      <c r="L1935" s="57"/>
      <c r="M1935" s="57"/>
      <c r="N1935" s="57"/>
      <c r="O1935" s="57"/>
      <c r="P1935" s="57"/>
      <c r="Q1935" s="57"/>
      <c r="R1935" s="57"/>
      <c r="S1935" s="57"/>
      <c r="T1935" s="57"/>
      <c r="U1935" s="57"/>
      <c r="V1935" s="57"/>
      <c r="W1935" s="57"/>
      <c r="X1935" s="57"/>
      <c r="Y1935" s="57"/>
      <c r="Z1935" s="57"/>
      <c r="AA1935" s="57"/>
      <c r="AB1935" s="57"/>
      <c r="AC1935" s="57"/>
      <c r="AD1935" s="57"/>
      <c r="AE1935" s="57"/>
      <c r="AF1935" s="57"/>
    </row>
    <row r="1936" spans="1:32" x14ac:dyDescent="0.2">
      <c r="A1936" s="57"/>
      <c r="B1936" s="57"/>
      <c r="C1936" s="57"/>
      <c r="D1936" s="57"/>
      <c r="E1936" s="57"/>
      <c r="F1936" s="985"/>
      <c r="G1936" s="57"/>
      <c r="H1936" s="57"/>
      <c r="I1936" s="990"/>
      <c r="J1936" s="57"/>
      <c r="K1936" s="57"/>
      <c r="L1936" s="57"/>
      <c r="M1936" s="57"/>
      <c r="N1936" s="57"/>
      <c r="O1936" s="57"/>
      <c r="P1936" s="57"/>
      <c r="Q1936" s="57"/>
      <c r="R1936" s="57"/>
      <c r="S1936" s="57"/>
      <c r="T1936" s="57"/>
      <c r="U1936" s="57"/>
      <c r="V1936" s="57"/>
      <c r="W1936" s="57"/>
      <c r="X1936" s="57"/>
      <c r="Y1936" s="57"/>
      <c r="Z1936" s="57"/>
      <c r="AA1936" s="57"/>
      <c r="AB1936" s="57"/>
      <c r="AC1936" s="57"/>
      <c r="AD1936" s="57"/>
      <c r="AE1936" s="57"/>
      <c r="AF1936" s="57"/>
    </row>
    <row r="1937" spans="1:32" x14ac:dyDescent="0.2">
      <c r="A1937" s="57"/>
      <c r="B1937" s="57"/>
      <c r="C1937" s="57"/>
      <c r="D1937" s="57"/>
      <c r="E1937" s="57"/>
      <c r="F1937" s="985"/>
      <c r="G1937" s="57"/>
      <c r="H1937" s="57"/>
      <c r="I1937" s="990"/>
      <c r="J1937" s="57"/>
      <c r="K1937" s="57"/>
      <c r="L1937" s="57"/>
      <c r="M1937" s="57"/>
      <c r="N1937" s="57"/>
      <c r="O1937" s="57"/>
      <c r="P1937" s="57"/>
      <c r="Q1937" s="57"/>
      <c r="R1937" s="57"/>
      <c r="S1937" s="57"/>
      <c r="T1937" s="57"/>
      <c r="U1937" s="57"/>
      <c r="V1937" s="57"/>
      <c r="W1937" s="57"/>
      <c r="X1937" s="57"/>
      <c r="Y1937" s="57"/>
      <c r="Z1937" s="57"/>
      <c r="AA1937" s="57"/>
      <c r="AB1937" s="57"/>
      <c r="AC1937" s="57"/>
      <c r="AD1937" s="57"/>
      <c r="AE1937" s="57"/>
      <c r="AF1937" s="57"/>
    </row>
    <row r="1938" spans="1:32" x14ac:dyDescent="0.2">
      <c r="A1938" s="57"/>
      <c r="B1938" s="57"/>
      <c r="C1938" s="57"/>
      <c r="D1938" s="57"/>
      <c r="E1938" s="57"/>
      <c r="F1938" s="985"/>
      <c r="G1938" s="57"/>
      <c r="H1938" s="57"/>
      <c r="I1938" s="990"/>
      <c r="J1938" s="57"/>
      <c r="K1938" s="57"/>
      <c r="L1938" s="57"/>
      <c r="M1938" s="57"/>
      <c r="N1938" s="57"/>
      <c r="O1938" s="57"/>
      <c r="P1938" s="57"/>
      <c r="Q1938" s="57"/>
      <c r="R1938" s="57"/>
      <c r="S1938" s="57"/>
      <c r="T1938" s="57"/>
      <c r="U1938" s="57"/>
      <c r="V1938" s="57"/>
      <c r="W1938" s="57"/>
      <c r="X1938" s="57"/>
      <c r="Y1938" s="57"/>
      <c r="Z1938" s="57"/>
      <c r="AA1938" s="57"/>
      <c r="AB1938" s="57"/>
      <c r="AC1938" s="57"/>
      <c r="AD1938" s="57"/>
      <c r="AE1938" s="57"/>
      <c r="AF1938" s="57"/>
    </row>
    <row r="1939" spans="1:32" x14ac:dyDescent="0.2">
      <c r="A1939" s="57"/>
      <c r="B1939" s="57"/>
      <c r="C1939" s="57"/>
      <c r="D1939" s="57"/>
      <c r="E1939" s="57"/>
      <c r="F1939" s="985"/>
      <c r="G1939" s="57"/>
      <c r="H1939" s="57"/>
      <c r="I1939" s="990"/>
      <c r="J1939" s="57"/>
      <c r="K1939" s="57"/>
      <c r="L1939" s="57"/>
      <c r="M1939" s="57"/>
      <c r="N1939" s="57"/>
      <c r="O1939" s="57"/>
      <c r="P1939" s="57"/>
      <c r="Q1939" s="57"/>
      <c r="R1939" s="57"/>
      <c r="S1939" s="57"/>
      <c r="T1939" s="57"/>
      <c r="U1939" s="57"/>
      <c r="V1939" s="57"/>
      <c r="W1939" s="57"/>
      <c r="X1939" s="57"/>
      <c r="Y1939" s="57"/>
      <c r="Z1939" s="57"/>
      <c r="AA1939" s="57"/>
      <c r="AB1939" s="57"/>
      <c r="AC1939" s="57"/>
      <c r="AD1939" s="57"/>
      <c r="AE1939" s="57"/>
      <c r="AF1939" s="57"/>
    </row>
    <row r="1940" spans="1:32" x14ac:dyDescent="0.2">
      <c r="A1940" s="57"/>
      <c r="B1940" s="57"/>
      <c r="C1940" s="57"/>
      <c r="D1940" s="57"/>
      <c r="E1940" s="57"/>
      <c r="F1940" s="985"/>
      <c r="G1940" s="57"/>
      <c r="H1940" s="57"/>
      <c r="I1940" s="990"/>
      <c r="J1940" s="57"/>
      <c r="K1940" s="57"/>
      <c r="L1940" s="57"/>
      <c r="M1940" s="57"/>
      <c r="N1940" s="57"/>
      <c r="O1940" s="57"/>
      <c r="P1940" s="57"/>
      <c r="Q1940" s="57"/>
      <c r="R1940" s="57"/>
      <c r="S1940" s="57"/>
      <c r="T1940" s="57"/>
      <c r="U1940" s="57"/>
      <c r="V1940" s="57"/>
      <c r="W1940" s="57"/>
      <c r="X1940" s="57"/>
      <c r="Y1940" s="57"/>
      <c r="Z1940" s="57"/>
      <c r="AA1940" s="57"/>
      <c r="AB1940" s="57"/>
      <c r="AC1940" s="57"/>
      <c r="AD1940" s="57"/>
      <c r="AE1940" s="57"/>
      <c r="AF1940" s="57"/>
    </row>
    <row r="1941" spans="1:32" x14ac:dyDescent="0.2">
      <c r="A1941" s="57"/>
      <c r="B1941" s="57"/>
      <c r="C1941" s="57"/>
      <c r="D1941" s="57"/>
      <c r="E1941" s="57"/>
      <c r="F1941" s="985"/>
      <c r="G1941" s="57"/>
      <c r="H1941" s="57"/>
      <c r="I1941" s="990"/>
      <c r="J1941" s="57"/>
      <c r="K1941" s="57"/>
      <c r="L1941" s="57"/>
      <c r="M1941" s="57"/>
      <c r="N1941" s="57"/>
      <c r="O1941" s="57"/>
      <c r="P1941" s="57"/>
      <c r="Q1941" s="57"/>
      <c r="R1941" s="57"/>
      <c r="S1941" s="57"/>
      <c r="T1941" s="57"/>
      <c r="U1941" s="57"/>
      <c r="V1941" s="57"/>
      <c r="W1941" s="57"/>
      <c r="X1941" s="57"/>
      <c r="Y1941" s="57"/>
      <c r="Z1941" s="57"/>
      <c r="AA1941" s="57"/>
      <c r="AB1941" s="57"/>
      <c r="AC1941" s="57"/>
      <c r="AD1941" s="57"/>
      <c r="AE1941" s="57"/>
      <c r="AF1941" s="57"/>
    </row>
    <row r="1942" spans="1:32" x14ac:dyDescent="0.2">
      <c r="A1942" s="57"/>
      <c r="B1942" s="57"/>
      <c r="C1942" s="57"/>
      <c r="D1942" s="57"/>
      <c r="E1942" s="57"/>
      <c r="F1942" s="985"/>
      <c r="G1942" s="57"/>
      <c r="H1942" s="57"/>
      <c r="I1942" s="990"/>
      <c r="J1942" s="57"/>
      <c r="K1942" s="57"/>
      <c r="L1942" s="57"/>
      <c r="M1942" s="57"/>
      <c r="N1942" s="57"/>
      <c r="O1942" s="57"/>
      <c r="P1942" s="57"/>
      <c r="Q1942" s="57"/>
      <c r="R1942" s="57"/>
      <c r="S1942" s="57"/>
      <c r="T1942" s="57"/>
      <c r="U1942" s="57"/>
      <c r="V1942" s="57"/>
      <c r="W1942" s="57"/>
      <c r="X1942" s="57"/>
      <c r="Y1942" s="57"/>
      <c r="Z1942" s="57"/>
      <c r="AA1942" s="57"/>
      <c r="AB1942" s="57"/>
      <c r="AC1942" s="57"/>
      <c r="AD1942" s="57"/>
      <c r="AE1942" s="57"/>
      <c r="AF1942" s="57"/>
    </row>
    <row r="1943" spans="1:32" x14ac:dyDescent="0.2">
      <c r="A1943" s="57"/>
      <c r="B1943" s="57"/>
      <c r="C1943" s="57"/>
      <c r="D1943" s="57"/>
      <c r="E1943" s="57"/>
      <c r="F1943" s="985"/>
      <c r="G1943" s="57"/>
      <c r="H1943" s="57"/>
      <c r="I1943" s="990"/>
      <c r="J1943" s="57"/>
      <c r="K1943" s="57"/>
      <c r="L1943" s="57"/>
      <c r="M1943" s="57"/>
      <c r="N1943" s="57"/>
      <c r="O1943" s="57"/>
      <c r="P1943" s="57"/>
      <c r="Q1943" s="57"/>
      <c r="R1943" s="57"/>
      <c r="S1943" s="57"/>
      <c r="T1943" s="57"/>
      <c r="U1943" s="57"/>
      <c r="V1943" s="57"/>
      <c r="W1943" s="57"/>
      <c r="X1943" s="57"/>
      <c r="Y1943" s="57"/>
      <c r="Z1943" s="57"/>
      <c r="AA1943" s="57"/>
      <c r="AB1943" s="57"/>
      <c r="AC1943" s="57"/>
      <c r="AD1943" s="57"/>
      <c r="AE1943" s="57"/>
      <c r="AF1943" s="57"/>
    </row>
    <row r="1944" spans="1:32" x14ac:dyDescent="0.2">
      <c r="A1944" s="57"/>
      <c r="B1944" s="57"/>
      <c r="C1944" s="57"/>
      <c r="D1944" s="57"/>
      <c r="E1944" s="57"/>
      <c r="F1944" s="985"/>
      <c r="G1944" s="57"/>
      <c r="H1944" s="57"/>
      <c r="I1944" s="990"/>
      <c r="J1944" s="57"/>
      <c r="K1944" s="57"/>
      <c r="L1944" s="57"/>
      <c r="M1944" s="57"/>
      <c r="N1944" s="57"/>
      <c r="O1944" s="57"/>
      <c r="P1944" s="57"/>
      <c r="Q1944" s="57"/>
      <c r="R1944" s="57"/>
      <c r="S1944" s="57"/>
      <c r="T1944" s="57"/>
      <c r="U1944" s="57"/>
      <c r="V1944" s="57"/>
      <c r="W1944" s="57"/>
      <c r="X1944" s="57"/>
      <c r="Y1944" s="57"/>
      <c r="Z1944" s="57"/>
      <c r="AA1944" s="57"/>
      <c r="AB1944" s="57"/>
      <c r="AC1944" s="57"/>
      <c r="AD1944" s="57"/>
      <c r="AE1944" s="57"/>
      <c r="AF1944" s="57"/>
    </row>
    <row r="1945" spans="1:32" x14ac:dyDescent="0.2">
      <c r="A1945" s="57"/>
      <c r="B1945" s="57"/>
      <c r="C1945" s="57"/>
      <c r="D1945" s="57"/>
      <c r="E1945" s="57"/>
      <c r="F1945" s="985"/>
      <c r="G1945" s="57"/>
      <c r="H1945" s="57"/>
      <c r="I1945" s="990"/>
      <c r="J1945" s="57"/>
      <c r="K1945" s="57"/>
      <c r="L1945" s="57"/>
      <c r="M1945" s="57"/>
      <c r="N1945" s="57"/>
      <c r="O1945" s="57"/>
      <c r="P1945" s="57"/>
      <c r="Q1945" s="57"/>
      <c r="R1945" s="57"/>
      <c r="S1945" s="57"/>
      <c r="T1945" s="57"/>
      <c r="U1945" s="57"/>
      <c r="V1945" s="57"/>
      <c r="W1945" s="57"/>
      <c r="X1945" s="57"/>
      <c r="Y1945" s="57"/>
      <c r="Z1945" s="57"/>
      <c r="AA1945" s="57"/>
      <c r="AB1945" s="57"/>
      <c r="AC1945" s="57"/>
      <c r="AD1945" s="57"/>
      <c r="AE1945" s="57"/>
      <c r="AF1945" s="57"/>
    </row>
    <row r="1946" spans="1:32" x14ac:dyDescent="0.2">
      <c r="A1946" s="57"/>
      <c r="B1946" s="57"/>
      <c r="C1946" s="57"/>
      <c r="D1946" s="57"/>
      <c r="E1946" s="57"/>
      <c r="F1946" s="985"/>
      <c r="G1946" s="57"/>
      <c r="H1946" s="57"/>
      <c r="I1946" s="990"/>
      <c r="J1946" s="57"/>
      <c r="K1946" s="57"/>
      <c r="L1946" s="57"/>
      <c r="M1946" s="57"/>
      <c r="N1946" s="57"/>
      <c r="O1946" s="57"/>
      <c r="P1946" s="57"/>
      <c r="Q1946" s="57"/>
      <c r="R1946" s="57"/>
      <c r="S1946" s="57"/>
      <c r="T1946" s="57"/>
      <c r="U1946" s="57"/>
      <c r="V1946" s="57"/>
      <c r="W1946" s="57"/>
      <c r="X1946" s="57"/>
      <c r="Y1946" s="57"/>
      <c r="Z1946" s="57"/>
      <c r="AA1946" s="57"/>
      <c r="AB1946" s="57"/>
      <c r="AC1946" s="57"/>
      <c r="AD1946" s="57"/>
      <c r="AE1946" s="57"/>
      <c r="AF1946" s="57"/>
    </row>
    <row r="1947" spans="1:32" x14ac:dyDescent="0.2">
      <c r="A1947" s="57"/>
      <c r="B1947" s="57"/>
      <c r="C1947" s="57"/>
      <c r="D1947" s="57"/>
      <c r="E1947" s="57"/>
      <c r="F1947" s="985"/>
      <c r="G1947" s="57"/>
      <c r="H1947" s="57"/>
      <c r="I1947" s="990"/>
      <c r="J1947" s="57"/>
      <c r="K1947" s="57"/>
      <c r="L1947" s="57"/>
      <c r="M1947" s="57"/>
      <c r="N1947" s="57"/>
      <c r="O1947" s="57"/>
      <c r="P1947" s="57"/>
      <c r="Q1947" s="57"/>
      <c r="R1947" s="57"/>
      <c r="S1947" s="57"/>
      <c r="T1947" s="57"/>
      <c r="U1947" s="57"/>
      <c r="V1947" s="57"/>
      <c r="W1947" s="57"/>
      <c r="X1947" s="57"/>
      <c r="Y1947" s="57"/>
      <c r="Z1947" s="57"/>
      <c r="AA1947" s="57"/>
      <c r="AB1947" s="57"/>
      <c r="AC1947" s="57"/>
      <c r="AD1947" s="57"/>
      <c r="AE1947" s="57"/>
      <c r="AF1947" s="57"/>
    </row>
    <row r="1948" spans="1:32" x14ac:dyDescent="0.2">
      <c r="A1948" s="57"/>
      <c r="B1948" s="57"/>
      <c r="C1948" s="57"/>
      <c r="D1948" s="57"/>
      <c r="E1948" s="57"/>
      <c r="F1948" s="985"/>
      <c r="G1948" s="57"/>
      <c r="H1948" s="57"/>
      <c r="I1948" s="990"/>
      <c r="J1948" s="57"/>
      <c r="K1948" s="57"/>
      <c r="L1948" s="57"/>
      <c r="M1948" s="57"/>
      <c r="N1948" s="57"/>
      <c r="O1948" s="57"/>
      <c r="P1948" s="57"/>
      <c r="Q1948" s="57"/>
      <c r="R1948" s="57"/>
      <c r="S1948" s="57"/>
      <c r="T1948" s="57"/>
      <c r="U1948" s="57"/>
      <c r="V1948" s="57"/>
      <c r="W1948" s="57"/>
      <c r="X1948" s="57"/>
      <c r="Y1948" s="57"/>
      <c r="Z1948" s="57"/>
      <c r="AA1948" s="57"/>
      <c r="AB1948" s="57"/>
      <c r="AC1948" s="57"/>
      <c r="AD1948" s="57"/>
      <c r="AE1948" s="57"/>
      <c r="AF1948" s="57"/>
    </row>
    <row r="1949" spans="1:32" x14ac:dyDescent="0.2">
      <c r="A1949" s="57"/>
      <c r="B1949" s="57"/>
      <c r="C1949" s="57"/>
      <c r="D1949" s="57"/>
      <c r="E1949" s="57"/>
      <c r="F1949" s="985"/>
      <c r="G1949" s="57"/>
      <c r="H1949" s="57"/>
      <c r="I1949" s="990"/>
      <c r="J1949" s="57"/>
      <c r="K1949" s="57"/>
      <c r="L1949" s="57"/>
      <c r="M1949" s="57"/>
      <c r="N1949" s="57"/>
      <c r="O1949" s="57"/>
      <c r="P1949" s="57"/>
      <c r="Q1949" s="57"/>
      <c r="R1949" s="57"/>
      <c r="S1949" s="57"/>
      <c r="T1949" s="57"/>
      <c r="U1949" s="57"/>
      <c r="V1949" s="57"/>
      <c r="W1949" s="57"/>
      <c r="X1949" s="57"/>
      <c r="Y1949" s="57"/>
      <c r="Z1949" s="57"/>
      <c r="AA1949" s="57"/>
      <c r="AB1949" s="57"/>
      <c r="AC1949" s="57"/>
      <c r="AD1949" s="57"/>
      <c r="AE1949" s="57"/>
      <c r="AF1949" s="57"/>
    </row>
    <row r="1950" spans="1:32" x14ac:dyDescent="0.2">
      <c r="A1950" s="57"/>
      <c r="B1950" s="57"/>
      <c r="C1950" s="57"/>
      <c r="D1950" s="57"/>
      <c r="E1950" s="57"/>
      <c r="F1950" s="985"/>
      <c r="G1950" s="57"/>
      <c r="H1950" s="57"/>
      <c r="I1950" s="990"/>
      <c r="J1950" s="57"/>
      <c r="K1950" s="57"/>
      <c r="L1950" s="57"/>
      <c r="M1950" s="57"/>
      <c r="N1950" s="57"/>
      <c r="O1950" s="57"/>
      <c r="P1950" s="57"/>
      <c r="Q1950" s="57"/>
      <c r="R1950" s="57"/>
      <c r="S1950" s="57"/>
      <c r="T1950" s="57"/>
      <c r="U1950" s="57"/>
      <c r="V1950" s="57"/>
      <c r="W1950" s="57"/>
      <c r="X1950" s="57"/>
      <c r="Y1950" s="57"/>
      <c r="Z1950" s="57"/>
      <c r="AA1950" s="57"/>
      <c r="AB1950" s="57"/>
      <c r="AC1950" s="57"/>
      <c r="AD1950" s="57"/>
      <c r="AE1950" s="57"/>
      <c r="AF1950" s="57"/>
    </row>
    <row r="1951" spans="1:32" x14ac:dyDescent="0.2">
      <c r="A1951" s="57"/>
      <c r="B1951" s="57"/>
      <c r="C1951" s="57"/>
      <c r="D1951" s="57"/>
      <c r="E1951" s="57"/>
      <c r="F1951" s="985"/>
      <c r="G1951" s="57"/>
      <c r="H1951" s="57"/>
      <c r="I1951" s="990"/>
      <c r="J1951" s="57"/>
      <c r="K1951" s="57"/>
      <c r="L1951" s="57"/>
      <c r="M1951" s="57"/>
      <c r="N1951" s="57"/>
      <c r="O1951" s="57"/>
      <c r="P1951" s="57"/>
      <c r="Q1951" s="57"/>
      <c r="R1951" s="57"/>
      <c r="S1951" s="57"/>
      <c r="T1951" s="57"/>
      <c r="U1951" s="57"/>
      <c r="V1951" s="57"/>
      <c r="W1951" s="57"/>
      <c r="X1951" s="57"/>
      <c r="Y1951" s="57"/>
      <c r="Z1951" s="57"/>
      <c r="AA1951" s="57"/>
      <c r="AB1951" s="57"/>
      <c r="AC1951" s="57"/>
      <c r="AD1951" s="57"/>
      <c r="AE1951" s="57"/>
      <c r="AF1951" s="57"/>
    </row>
    <row r="1952" spans="1:32" x14ac:dyDescent="0.2">
      <c r="A1952" s="57"/>
      <c r="B1952" s="57"/>
      <c r="C1952" s="57"/>
      <c r="D1952" s="57"/>
      <c r="E1952" s="57"/>
      <c r="F1952" s="985"/>
      <c r="G1952" s="57"/>
      <c r="H1952" s="57"/>
      <c r="I1952" s="990"/>
      <c r="J1952" s="57"/>
      <c r="K1952" s="57"/>
      <c r="L1952" s="57"/>
      <c r="M1952" s="57"/>
      <c r="N1952" s="57"/>
      <c r="O1952" s="57"/>
      <c r="P1952" s="57"/>
      <c r="Q1952" s="57"/>
      <c r="R1952" s="57"/>
      <c r="S1952" s="57"/>
      <c r="T1952" s="57"/>
      <c r="U1952" s="57"/>
      <c r="V1952" s="57"/>
      <c r="W1952" s="57"/>
      <c r="X1952" s="57"/>
      <c r="Y1952" s="57"/>
      <c r="Z1952" s="57"/>
      <c r="AA1952" s="57"/>
      <c r="AB1952" s="57"/>
      <c r="AC1952" s="57"/>
      <c r="AD1952" s="57"/>
      <c r="AE1952" s="57"/>
      <c r="AF1952" s="57"/>
    </row>
    <row r="1953" spans="1:32" x14ac:dyDescent="0.2">
      <c r="A1953" s="57"/>
      <c r="B1953" s="57"/>
      <c r="C1953" s="57"/>
      <c r="D1953" s="57"/>
      <c r="E1953" s="57"/>
      <c r="F1953" s="985"/>
      <c r="G1953" s="57"/>
      <c r="H1953" s="57"/>
      <c r="I1953" s="990"/>
      <c r="J1953" s="57"/>
      <c r="K1953" s="57"/>
      <c r="L1953" s="57"/>
      <c r="M1953" s="57"/>
      <c r="N1953" s="57"/>
      <c r="O1953" s="57"/>
      <c r="P1953" s="57"/>
      <c r="Q1953" s="57"/>
      <c r="R1953" s="57"/>
      <c r="S1953" s="57"/>
      <c r="T1953" s="57"/>
      <c r="U1953" s="57"/>
      <c r="V1953" s="57"/>
      <c r="W1953" s="57"/>
      <c r="X1953" s="57"/>
      <c r="Y1953" s="57"/>
      <c r="Z1953" s="57"/>
      <c r="AA1953" s="57"/>
      <c r="AB1953" s="57"/>
      <c r="AC1953" s="57"/>
      <c r="AD1953" s="57"/>
      <c r="AE1953" s="57"/>
      <c r="AF1953" s="57"/>
    </row>
    <row r="1954" spans="1:32" x14ac:dyDescent="0.2">
      <c r="A1954" s="57"/>
      <c r="B1954" s="57"/>
      <c r="C1954" s="57"/>
      <c r="D1954" s="57"/>
      <c r="E1954" s="57"/>
      <c r="F1954" s="985"/>
      <c r="G1954" s="57"/>
      <c r="H1954" s="57"/>
      <c r="I1954" s="990"/>
      <c r="J1954" s="57"/>
      <c r="K1954" s="57"/>
      <c r="L1954" s="57"/>
      <c r="M1954" s="57"/>
      <c r="N1954" s="57"/>
      <c r="O1954" s="57"/>
      <c r="P1954" s="57"/>
      <c r="Q1954" s="57"/>
      <c r="R1954" s="57"/>
      <c r="S1954" s="57"/>
      <c r="T1954" s="57"/>
      <c r="U1954" s="57"/>
      <c r="V1954" s="57"/>
      <c r="W1954" s="57"/>
      <c r="X1954" s="57"/>
      <c r="Y1954" s="57"/>
      <c r="Z1954" s="57"/>
      <c r="AA1954" s="57"/>
      <c r="AB1954" s="57"/>
      <c r="AC1954" s="57"/>
      <c r="AD1954" s="57"/>
      <c r="AE1954" s="57"/>
      <c r="AF1954" s="57"/>
    </row>
    <row r="1955" spans="1:32" x14ac:dyDescent="0.2">
      <c r="A1955" s="57"/>
      <c r="B1955" s="57"/>
      <c r="C1955" s="57"/>
      <c r="D1955" s="57"/>
      <c r="E1955" s="57"/>
      <c r="F1955" s="985"/>
      <c r="G1955" s="57"/>
      <c r="H1955" s="57"/>
      <c r="I1955" s="990"/>
      <c r="J1955" s="57"/>
      <c r="K1955" s="57"/>
      <c r="L1955" s="57"/>
      <c r="M1955" s="57"/>
      <c r="N1955" s="57"/>
      <c r="O1955" s="57"/>
      <c r="P1955" s="57"/>
      <c r="Q1955" s="57"/>
      <c r="R1955" s="57"/>
      <c r="S1955" s="57"/>
      <c r="T1955" s="57"/>
      <c r="U1955" s="57"/>
      <c r="V1955" s="57"/>
      <c r="W1955" s="57"/>
      <c r="X1955" s="57"/>
      <c r="Y1955" s="57"/>
      <c r="Z1955" s="57"/>
      <c r="AA1955" s="57"/>
      <c r="AB1955" s="57"/>
      <c r="AC1955" s="57"/>
      <c r="AD1955" s="57"/>
      <c r="AE1955" s="57"/>
      <c r="AF1955" s="57"/>
    </row>
    <row r="1956" spans="1:32" x14ac:dyDescent="0.2">
      <c r="A1956" s="57"/>
      <c r="B1956" s="57"/>
      <c r="C1956" s="57"/>
      <c r="D1956" s="57"/>
      <c r="E1956" s="57"/>
      <c r="F1956" s="985"/>
      <c r="G1956" s="57"/>
      <c r="H1956" s="57"/>
      <c r="I1956" s="990"/>
      <c r="J1956" s="57"/>
      <c r="K1956" s="57"/>
      <c r="L1956" s="57"/>
      <c r="M1956" s="57"/>
      <c r="N1956" s="57"/>
      <c r="O1956" s="57"/>
      <c r="P1956" s="57"/>
      <c r="Q1956" s="57"/>
      <c r="R1956" s="57"/>
      <c r="S1956" s="57"/>
      <c r="T1956" s="57"/>
      <c r="U1956" s="57"/>
      <c r="V1956" s="57"/>
      <c r="W1956" s="57"/>
      <c r="X1956" s="57"/>
      <c r="Y1956" s="57"/>
      <c r="Z1956" s="57"/>
      <c r="AA1956" s="57"/>
      <c r="AB1956" s="57"/>
      <c r="AC1956" s="57"/>
      <c r="AD1956" s="57"/>
      <c r="AE1956" s="57"/>
      <c r="AF1956" s="57"/>
    </row>
    <row r="1957" spans="1:32" x14ac:dyDescent="0.2">
      <c r="A1957" s="57"/>
      <c r="B1957" s="57"/>
      <c r="C1957" s="57"/>
      <c r="D1957" s="57"/>
      <c r="E1957" s="57"/>
      <c r="F1957" s="985"/>
      <c r="G1957" s="57"/>
      <c r="H1957" s="57"/>
      <c r="I1957" s="990"/>
      <c r="J1957" s="57"/>
      <c r="K1957" s="57"/>
      <c r="L1957" s="57"/>
      <c r="M1957" s="57"/>
      <c r="N1957" s="57"/>
      <c r="O1957" s="57"/>
      <c r="P1957" s="57"/>
      <c r="Q1957" s="57"/>
      <c r="R1957" s="57"/>
      <c r="S1957" s="57"/>
      <c r="T1957" s="57"/>
      <c r="U1957" s="57"/>
      <c r="V1957" s="57"/>
      <c r="W1957" s="57"/>
      <c r="X1957" s="57"/>
      <c r="Y1957" s="57"/>
      <c r="Z1957" s="57"/>
      <c r="AA1957" s="57"/>
      <c r="AB1957" s="57"/>
      <c r="AC1957" s="57"/>
      <c r="AD1957" s="57"/>
      <c r="AE1957" s="57"/>
      <c r="AF1957" s="57"/>
    </row>
    <row r="1958" spans="1:32" x14ac:dyDescent="0.2">
      <c r="A1958" s="57"/>
      <c r="B1958" s="57"/>
      <c r="C1958" s="57"/>
      <c r="D1958" s="57"/>
      <c r="E1958" s="57"/>
      <c r="F1958" s="985"/>
      <c r="G1958" s="57"/>
      <c r="H1958" s="57"/>
      <c r="I1958" s="990"/>
      <c r="J1958" s="57"/>
      <c r="K1958" s="57"/>
      <c r="L1958" s="57"/>
      <c r="M1958" s="57"/>
      <c r="N1958" s="57"/>
      <c r="O1958" s="57"/>
      <c r="P1958" s="57"/>
      <c r="Q1958" s="57"/>
      <c r="R1958" s="57"/>
      <c r="S1958" s="57"/>
      <c r="T1958" s="57"/>
      <c r="U1958" s="57"/>
      <c r="V1958" s="57"/>
      <c r="W1958" s="57"/>
      <c r="X1958" s="57"/>
      <c r="Y1958" s="57"/>
      <c r="Z1958" s="57"/>
      <c r="AA1958" s="57"/>
      <c r="AB1958" s="57"/>
      <c r="AC1958" s="57"/>
      <c r="AD1958" s="57"/>
      <c r="AE1958" s="57"/>
      <c r="AF1958" s="57"/>
    </row>
    <row r="1959" spans="1:32" x14ac:dyDescent="0.2">
      <c r="A1959" s="57"/>
      <c r="B1959" s="57"/>
      <c r="C1959" s="57"/>
      <c r="D1959" s="57"/>
      <c r="E1959" s="57"/>
      <c r="F1959" s="985"/>
      <c r="G1959" s="57"/>
      <c r="H1959" s="57"/>
      <c r="I1959" s="990"/>
      <c r="J1959" s="57"/>
      <c r="K1959" s="57"/>
      <c r="L1959" s="57"/>
      <c r="M1959" s="57"/>
      <c r="N1959" s="57"/>
      <c r="O1959" s="57"/>
      <c r="P1959" s="57"/>
      <c r="Q1959" s="57"/>
      <c r="R1959" s="57"/>
      <c r="S1959" s="57"/>
      <c r="T1959" s="57"/>
      <c r="U1959" s="57"/>
      <c r="V1959" s="57"/>
      <c r="W1959" s="57"/>
      <c r="X1959" s="57"/>
      <c r="Y1959" s="57"/>
      <c r="Z1959" s="57"/>
      <c r="AA1959" s="57"/>
      <c r="AB1959" s="57"/>
      <c r="AC1959" s="57"/>
      <c r="AD1959" s="57"/>
      <c r="AE1959" s="57"/>
      <c r="AF1959" s="57"/>
    </row>
    <row r="1960" spans="1:32" x14ac:dyDescent="0.2">
      <c r="A1960" s="57"/>
      <c r="B1960" s="57"/>
      <c r="C1960" s="57"/>
      <c r="D1960" s="57"/>
      <c r="E1960" s="57"/>
      <c r="F1960" s="985"/>
      <c r="G1960" s="57"/>
      <c r="H1960" s="57"/>
      <c r="I1960" s="990"/>
      <c r="J1960" s="57"/>
      <c r="K1960" s="57"/>
      <c r="L1960" s="57"/>
      <c r="M1960" s="57"/>
      <c r="N1960" s="57"/>
      <c r="O1960" s="57"/>
      <c r="P1960" s="57"/>
      <c r="Q1960" s="57"/>
      <c r="R1960" s="57"/>
      <c r="S1960" s="57"/>
      <c r="T1960" s="57"/>
      <c r="U1960" s="57"/>
      <c r="V1960" s="57"/>
      <c r="W1960" s="57"/>
      <c r="X1960" s="57"/>
      <c r="Y1960" s="57"/>
      <c r="Z1960" s="57"/>
      <c r="AA1960" s="57"/>
      <c r="AB1960" s="57"/>
      <c r="AC1960" s="57"/>
      <c r="AD1960" s="57"/>
      <c r="AE1960" s="57"/>
      <c r="AF1960" s="57"/>
    </row>
    <row r="1961" spans="1:32" x14ac:dyDescent="0.2">
      <c r="A1961" s="57"/>
      <c r="B1961" s="57"/>
      <c r="C1961" s="57"/>
      <c r="D1961" s="57"/>
      <c r="E1961" s="57"/>
      <c r="F1961" s="985"/>
      <c r="G1961" s="57"/>
      <c r="H1961" s="57"/>
      <c r="I1961" s="990"/>
      <c r="J1961" s="57"/>
      <c r="K1961" s="57"/>
      <c r="L1961" s="57"/>
      <c r="M1961" s="57"/>
      <c r="N1961" s="57"/>
      <c r="O1961" s="57"/>
      <c r="P1961" s="57"/>
      <c r="Q1961" s="57"/>
      <c r="R1961" s="57"/>
      <c r="S1961" s="57"/>
      <c r="T1961" s="57"/>
      <c r="U1961" s="57"/>
      <c r="V1961" s="57"/>
      <c r="W1961" s="57"/>
      <c r="X1961" s="57"/>
      <c r="Y1961" s="57"/>
      <c r="Z1961" s="57"/>
      <c r="AA1961" s="57"/>
      <c r="AB1961" s="57"/>
      <c r="AC1961" s="57"/>
      <c r="AD1961" s="57"/>
      <c r="AE1961" s="57"/>
      <c r="AF1961" s="57"/>
    </row>
    <row r="1962" spans="1:32" x14ac:dyDescent="0.2">
      <c r="A1962" s="57"/>
      <c r="B1962" s="57"/>
      <c r="C1962" s="57"/>
      <c r="D1962" s="57"/>
      <c r="E1962" s="57"/>
      <c r="F1962" s="985"/>
      <c r="G1962" s="57"/>
      <c r="H1962" s="57"/>
      <c r="I1962" s="990"/>
      <c r="J1962" s="57"/>
      <c r="K1962" s="57"/>
      <c r="L1962" s="57"/>
      <c r="M1962" s="57"/>
      <c r="N1962" s="57"/>
      <c r="O1962" s="57"/>
      <c r="P1962" s="57"/>
      <c r="Q1962" s="57"/>
      <c r="R1962" s="57"/>
      <c r="S1962" s="57"/>
      <c r="T1962" s="57"/>
      <c r="U1962" s="57"/>
      <c r="V1962" s="57"/>
      <c r="W1962" s="57"/>
      <c r="X1962" s="57"/>
      <c r="Y1962" s="57"/>
      <c r="Z1962" s="57"/>
      <c r="AA1962" s="57"/>
      <c r="AB1962" s="57"/>
      <c r="AC1962" s="57"/>
      <c r="AD1962" s="57"/>
      <c r="AE1962" s="57"/>
      <c r="AF1962" s="57"/>
    </row>
    <row r="1963" spans="1:32" x14ac:dyDescent="0.2">
      <c r="A1963" s="57"/>
      <c r="B1963" s="57"/>
      <c r="C1963" s="57"/>
      <c r="D1963" s="57"/>
      <c r="E1963" s="57"/>
      <c r="F1963" s="985"/>
      <c r="G1963" s="57"/>
      <c r="H1963" s="57"/>
      <c r="I1963" s="990"/>
      <c r="J1963" s="57"/>
      <c r="K1963" s="57"/>
      <c r="L1963" s="57"/>
      <c r="M1963" s="57"/>
      <c r="N1963" s="57"/>
      <c r="O1963" s="57"/>
      <c r="P1963" s="57"/>
      <c r="Q1963" s="57"/>
      <c r="R1963" s="57"/>
      <c r="S1963" s="57"/>
      <c r="T1963" s="57"/>
      <c r="U1963" s="57"/>
      <c r="V1963" s="57"/>
      <c r="W1963" s="57"/>
      <c r="X1963" s="57"/>
      <c r="Y1963" s="57"/>
      <c r="Z1963" s="57"/>
      <c r="AA1963" s="57"/>
      <c r="AB1963" s="57"/>
      <c r="AC1963" s="57"/>
      <c r="AD1963" s="57"/>
      <c r="AE1963" s="57"/>
      <c r="AF1963" s="57"/>
    </row>
    <row r="1964" spans="1:32" x14ac:dyDescent="0.2">
      <c r="A1964" s="57"/>
      <c r="B1964" s="57"/>
      <c r="C1964" s="57"/>
      <c r="D1964" s="57"/>
      <c r="E1964" s="57"/>
      <c r="F1964" s="985"/>
      <c r="G1964" s="57"/>
      <c r="H1964" s="57"/>
      <c r="I1964" s="990"/>
      <c r="J1964" s="57"/>
      <c r="K1964" s="57"/>
      <c r="L1964" s="57"/>
      <c r="M1964" s="57"/>
      <c r="N1964" s="57"/>
      <c r="O1964" s="57"/>
      <c r="P1964" s="57"/>
      <c r="Q1964" s="57"/>
      <c r="R1964" s="57"/>
      <c r="S1964" s="57"/>
      <c r="T1964" s="57"/>
      <c r="U1964" s="57"/>
      <c r="V1964" s="57"/>
      <c r="W1964" s="57"/>
      <c r="X1964" s="57"/>
      <c r="Y1964" s="57"/>
      <c r="Z1964" s="57"/>
      <c r="AA1964" s="57"/>
      <c r="AB1964" s="57"/>
      <c r="AC1964" s="57"/>
      <c r="AD1964" s="57"/>
      <c r="AE1964" s="57"/>
      <c r="AF1964" s="57"/>
    </row>
    <row r="1965" spans="1:32" x14ac:dyDescent="0.2">
      <c r="A1965" s="57"/>
      <c r="B1965" s="57"/>
      <c r="C1965" s="57"/>
      <c r="D1965" s="57"/>
      <c r="E1965" s="57"/>
      <c r="F1965" s="985"/>
      <c r="G1965" s="57"/>
      <c r="H1965" s="57"/>
      <c r="I1965" s="990"/>
      <c r="J1965" s="57"/>
      <c r="K1965" s="57"/>
      <c r="L1965" s="57"/>
      <c r="M1965" s="57"/>
      <c r="N1965" s="57"/>
      <c r="O1965" s="57"/>
      <c r="P1965" s="57"/>
      <c r="Q1965" s="57"/>
      <c r="R1965" s="57"/>
      <c r="S1965" s="57"/>
      <c r="T1965" s="57"/>
      <c r="U1965" s="57"/>
      <c r="V1965" s="57"/>
      <c r="W1965" s="57"/>
      <c r="X1965" s="57"/>
      <c r="Y1965" s="57"/>
      <c r="Z1965" s="57"/>
      <c r="AA1965" s="57"/>
      <c r="AB1965" s="57"/>
      <c r="AC1965" s="57"/>
      <c r="AD1965" s="57"/>
      <c r="AE1965" s="57"/>
      <c r="AF1965" s="57"/>
    </row>
    <row r="1966" spans="1:32" x14ac:dyDescent="0.2">
      <c r="A1966" s="57"/>
      <c r="B1966" s="57"/>
      <c r="C1966" s="57"/>
      <c r="D1966" s="57"/>
      <c r="E1966" s="57"/>
      <c r="F1966" s="985"/>
      <c r="G1966" s="57"/>
      <c r="H1966" s="57"/>
      <c r="I1966" s="990"/>
      <c r="J1966" s="57"/>
      <c r="K1966" s="57"/>
      <c r="L1966" s="57"/>
      <c r="M1966" s="57"/>
      <c r="N1966" s="57"/>
      <c r="O1966" s="57"/>
      <c r="P1966" s="57"/>
      <c r="Q1966" s="57"/>
      <c r="R1966" s="57"/>
      <c r="S1966" s="57"/>
      <c r="T1966" s="57"/>
      <c r="U1966" s="57"/>
      <c r="V1966" s="57"/>
      <c r="W1966" s="57"/>
      <c r="X1966" s="57"/>
      <c r="Y1966" s="57"/>
      <c r="Z1966" s="57"/>
      <c r="AA1966" s="57"/>
      <c r="AB1966" s="57"/>
      <c r="AC1966" s="57"/>
      <c r="AD1966" s="57"/>
      <c r="AE1966" s="57"/>
      <c r="AF1966" s="57"/>
    </row>
    <row r="1967" spans="1:32" x14ac:dyDescent="0.2">
      <c r="A1967" s="57"/>
      <c r="B1967" s="57"/>
      <c r="C1967" s="57"/>
      <c r="D1967" s="57"/>
      <c r="E1967" s="57"/>
      <c r="F1967" s="985"/>
      <c r="G1967" s="57"/>
      <c r="H1967" s="57"/>
      <c r="I1967" s="990"/>
      <c r="J1967" s="57"/>
      <c r="K1967" s="57"/>
      <c r="L1967" s="57"/>
      <c r="M1967" s="57"/>
      <c r="N1967" s="57"/>
      <c r="O1967" s="57"/>
      <c r="P1967" s="57"/>
      <c r="Q1967" s="57"/>
      <c r="R1967" s="57"/>
      <c r="S1967" s="57"/>
      <c r="T1967" s="57"/>
      <c r="U1967" s="57"/>
      <c r="V1967" s="57"/>
      <c r="W1967" s="57"/>
      <c r="X1967" s="57"/>
      <c r="Y1967" s="57"/>
      <c r="Z1967" s="57"/>
      <c r="AA1967" s="57"/>
      <c r="AB1967" s="57"/>
      <c r="AC1967" s="57"/>
      <c r="AD1967" s="57"/>
      <c r="AE1967" s="57"/>
      <c r="AF1967" s="57"/>
    </row>
    <row r="1968" spans="1:32" x14ac:dyDescent="0.2">
      <c r="A1968" s="57"/>
      <c r="B1968" s="57"/>
      <c r="C1968" s="57"/>
      <c r="D1968" s="57"/>
      <c r="E1968" s="57"/>
      <c r="F1968" s="985"/>
      <c r="G1968" s="57"/>
      <c r="H1968" s="57"/>
      <c r="I1968" s="990"/>
      <c r="J1968" s="57"/>
      <c r="K1968" s="57"/>
      <c r="L1968" s="57"/>
      <c r="M1968" s="57"/>
      <c r="N1968" s="57"/>
      <c r="O1968" s="57"/>
      <c r="P1968" s="57"/>
      <c r="Q1968" s="57"/>
      <c r="R1968" s="57"/>
      <c r="S1968" s="57"/>
      <c r="T1968" s="57"/>
      <c r="U1968" s="57"/>
      <c r="V1968" s="57"/>
      <c r="W1968" s="57"/>
      <c r="X1968" s="57"/>
      <c r="Y1968" s="57"/>
      <c r="Z1968" s="57"/>
      <c r="AA1968" s="57"/>
      <c r="AB1968" s="57"/>
      <c r="AC1968" s="57"/>
      <c r="AD1968" s="57"/>
      <c r="AE1968" s="57"/>
      <c r="AF1968" s="57"/>
    </row>
    <row r="1969" spans="1:32" x14ac:dyDescent="0.2">
      <c r="A1969" s="57"/>
      <c r="B1969" s="57"/>
      <c r="C1969" s="57"/>
      <c r="D1969" s="57"/>
      <c r="E1969" s="57"/>
      <c r="F1969" s="985"/>
      <c r="G1969" s="57"/>
      <c r="H1969" s="57"/>
      <c r="I1969" s="990"/>
      <c r="J1969" s="57"/>
      <c r="K1969" s="57"/>
      <c r="L1969" s="57"/>
      <c r="M1969" s="57"/>
      <c r="N1969" s="57"/>
      <c r="O1969" s="57"/>
      <c r="P1969" s="57"/>
      <c r="Q1969" s="57"/>
      <c r="R1969" s="57"/>
      <c r="S1969" s="57"/>
      <c r="T1969" s="57"/>
      <c r="U1969" s="57"/>
      <c r="V1969" s="57"/>
      <c r="W1969" s="57"/>
      <c r="X1969" s="57"/>
      <c r="Y1969" s="57"/>
      <c r="Z1969" s="57"/>
      <c r="AA1969" s="57"/>
      <c r="AB1969" s="57"/>
      <c r="AC1969" s="57"/>
      <c r="AD1969" s="57"/>
      <c r="AE1969" s="57"/>
      <c r="AF1969" s="57"/>
    </row>
    <row r="1970" spans="1:32" x14ac:dyDescent="0.2">
      <c r="A1970" s="57"/>
      <c r="B1970" s="57"/>
      <c r="C1970" s="57"/>
      <c r="D1970" s="57"/>
      <c r="E1970" s="57"/>
      <c r="F1970" s="985"/>
      <c r="G1970" s="57"/>
      <c r="H1970" s="57"/>
      <c r="I1970" s="990"/>
      <c r="J1970" s="57"/>
      <c r="K1970" s="57"/>
      <c r="L1970" s="57"/>
      <c r="M1970" s="57"/>
      <c r="N1970" s="57"/>
      <c r="O1970" s="57"/>
      <c r="P1970" s="57"/>
      <c r="Q1970" s="57"/>
      <c r="R1970" s="57"/>
      <c r="S1970" s="57"/>
      <c r="T1970" s="57"/>
      <c r="U1970" s="57"/>
      <c r="V1970" s="57"/>
      <c r="W1970" s="57"/>
      <c r="X1970" s="57"/>
      <c r="Y1970" s="57"/>
      <c r="Z1970" s="57"/>
      <c r="AA1970" s="57"/>
      <c r="AB1970" s="57"/>
      <c r="AC1970" s="57"/>
      <c r="AD1970" s="57"/>
      <c r="AE1970" s="57"/>
      <c r="AF1970" s="57"/>
    </row>
    <row r="1971" spans="1:32" x14ac:dyDescent="0.2">
      <c r="A1971" s="57"/>
      <c r="B1971" s="57"/>
      <c r="C1971" s="57"/>
      <c r="D1971" s="57"/>
      <c r="E1971" s="57"/>
      <c r="F1971" s="985"/>
      <c r="G1971" s="57"/>
      <c r="H1971" s="57"/>
      <c r="I1971" s="990"/>
      <c r="J1971" s="57"/>
      <c r="K1971" s="57"/>
      <c r="L1971" s="57"/>
      <c r="M1971" s="57"/>
      <c r="N1971" s="57"/>
      <c r="O1971" s="57"/>
      <c r="P1971" s="57"/>
      <c r="Q1971" s="57"/>
      <c r="R1971" s="57"/>
      <c r="S1971" s="57"/>
      <c r="T1971" s="57"/>
      <c r="U1971" s="57"/>
      <c r="V1971" s="57"/>
      <c r="W1971" s="57"/>
      <c r="X1971" s="57"/>
      <c r="Y1971" s="57"/>
      <c r="Z1971" s="57"/>
      <c r="AA1971" s="57"/>
      <c r="AB1971" s="57"/>
      <c r="AC1971" s="57"/>
      <c r="AD1971" s="57"/>
      <c r="AE1971" s="57"/>
      <c r="AF1971" s="57"/>
    </row>
    <row r="1972" spans="1:32" x14ac:dyDescent="0.2">
      <c r="A1972" s="57"/>
      <c r="B1972" s="57"/>
      <c r="C1972" s="57"/>
      <c r="D1972" s="57"/>
      <c r="E1972" s="57"/>
      <c r="F1972" s="985"/>
      <c r="G1972" s="57"/>
      <c r="H1972" s="57"/>
      <c r="I1972" s="990"/>
      <c r="J1972" s="57"/>
      <c r="K1972" s="57"/>
      <c r="L1972" s="57"/>
      <c r="M1972" s="57"/>
      <c r="N1972" s="57"/>
      <c r="O1972" s="57"/>
      <c r="P1972" s="57"/>
      <c r="Q1972" s="57"/>
      <c r="R1972" s="57"/>
      <c r="S1972" s="57"/>
      <c r="T1972" s="57"/>
      <c r="U1972" s="57"/>
      <c r="V1972" s="57"/>
      <c r="W1972" s="57"/>
      <c r="X1972" s="57"/>
      <c r="Y1972" s="57"/>
      <c r="Z1972" s="57"/>
      <c r="AA1972" s="57"/>
      <c r="AB1972" s="57"/>
      <c r="AC1972" s="57"/>
      <c r="AD1972" s="57"/>
      <c r="AE1972" s="57"/>
      <c r="AF1972" s="57"/>
    </row>
    <row r="1973" spans="1:32" x14ac:dyDescent="0.2">
      <c r="A1973" s="57"/>
      <c r="B1973" s="57"/>
      <c r="C1973" s="57"/>
      <c r="D1973" s="57"/>
      <c r="E1973" s="57"/>
      <c r="F1973" s="985"/>
      <c r="G1973" s="57"/>
      <c r="H1973" s="57"/>
      <c r="I1973" s="990"/>
      <c r="J1973" s="57"/>
      <c r="K1973" s="57"/>
      <c r="L1973" s="57"/>
      <c r="M1973" s="57"/>
      <c r="N1973" s="57"/>
      <c r="O1973" s="57"/>
      <c r="P1973" s="57"/>
      <c r="Q1973" s="57"/>
      <c r="R1973" s="57"/>
      <c r="S1973" s="57"/>
      <c r="T1973" s="57"/>
      <c r="U1973" s="57"/>
      <c r="V1973" s="57"/>
      <c r="W1973" s="57"/>
      <c r="X1973" s="57"/>
      <c r="Y1973" s="57"/>
      <c r="Z1973" s="57"/>
      <c r="AA1973" s="57"/>
      <c r="AB1973" s="57"/>
      <c r="AC1973" s="57"/>
      <c r="AD1973" s="57"/>
      <c r="AE1973" s="57"/>
      <c r="AF1973" s="57"/>
    </row>
    <row r="1974" spans="1:32" x14ac:dyDescent="0.2">
      <c r="A1974" s="57"/>
      <c r="B1974" s="57"/>
      <c r="C1974" s="57"/>
      <c r="D1974" s="57"/>
      <c r="E1974" s="57"/>
      <c r="F1974" s="985"/>
      <c r="G1974" s="57"/>
      <c r="H1974" s="57"/>
      <c r="I1974" s="990"/>
      <c r="J1974" s="57"/>
      <c r="K1974" s="57"/>
      <c r="L1974" s="57"/>
      <c r="M1974" s="57"/>
      <c r="N1974" s="57"/>
      <c r="O1974" s="57"/>
      <c r="P1974" s="57"/>
      <c r="Q1974" s="57"/>
      <c r="R1974" s="57"/>
      <c r="S1974" s="57"/>
      <c r="T1974" s="57"/>
      <c r="U1974" s="57"/>
      <c r="V1974" s="57"/>
      <c r="W1974" s="57"/>
      <c r="X1974" s="57"/>
      <c r="Y1974" s="57"/>
      <c r="Z1974" s="57"/>
      <c r="AA1974" s="57"/>
      <c r="AB1974" s="57"/>
      <c r="AC1974" s="57"/>
      <c r="AD1974" s="57"/>
      <c r="AE1974" s="57"/>
      <c r="AF1974" s="57"/>
    </row>
    <row r="1975" spans="1:32" x14ac:dyDescent="0.2">
      <c r="A1975" s="57"/>
      <c r="B1975" s="57"/>
      <c r="C1975" s="57"/>
      <c r="D1975" s="57"/>
      <c r="E1975" s="57"/>
      <c r="F1975" s="985"/>
      <c r="G1975" s="57"/>
      <c r="H1975" s="57"/>
      <c r="I1975" s="990"/>
      <c r="J1975" s="57"/>
      <c r="K1975" s="57"/>
      <c r="L1975" s="57"/>
      <c r="M1975" s="57"/>
      <c r="N1975" s="57"/>
      <c r="O1975" s="57"/>
      <c r="P1975" s="57"/>
      <c r="Q1975" s="57"/>
      <c r="R1975" s="57"/>
      <c r="S1975" s="57"/>
      <c r="T1975" s="57"/>
      <c r="U1975" s="57"/>
      <c r="V1975" s="57"/>
      <c r="W1975" s="57"/>
      <c r="X1975" s="57"/>
      <c r="Y1975" s="57"/>
      <c r="Z1975" s="57"/>
      <c r="AA1975" s="57"/>
      <c r="AB1975" s="57"/>
      <c r="AC1975" s="57"/>
      <c r="AD1975" s="57"/>
      <c r="AE1975" s="57"/>
      <c r="AF1975" s="57"/>
    </row>
    <row r="1976" spans="1:32" x14ac:dyDescent="0.2">
      <c r="A1976" s="57"/>
      <c r="B1976" s="57"/>
      <c r="C1976" s="57"/>
      <c r="D1976" s="57"/>
      <c r="E1976" s="57"/>
      <c r="F1976" s="985"/>
      <c r="G1976" s="57"/>
      <c r="H1976" s="57"/>
      <c r="I1976" s="990"/>
      <c r="J1976" s="57"/>
      <c r="K1976" s="57"/>
      <c r="L1976" s="57"/>
      <c r="M1976" s="57"/>
      <c r="N1976" s="57"/>
      <c r="O1976" s="57"/>
      <c r="P1976" s="57"/>
      <c r="Q1976" s="57"/>
      <c r="R1976" s="57"/>
      <c r="S1976" s="57"/>
      <c r="T1976" s="57"/>
      <c r="U1976" s="57"/>
      <c r="V1976" s="57"/>
      <c r="W1976" s="57"/>
      <c r="X1976" s="57"/>
      <c r="Y1976" s="57"/>
      <c r="Z1976" s="57"/>
      <c r="AA1976" s="57"/>
      <c r="AB1976" s="57"/>
      <c r="AC1976" s="57"/>
      <c r="AD1976" s="57"/>
      <c r="AE1976" s="57"/>
      <c r="AF1976" s="57"/>
    </row>
    <row r="1977" spans="1:32" x14ac:dyDescent="0.2">
      <c r="A1977" s="57"/>
      <c r="B1977" s="57"/>
      <c r="C1977" s="57"/>
      <c r="D1977" s="57"/>
      <c r="E1977" s="57"/>
      <c r="F1977" s="985"/>
      <c r="G1977" s="57"/>
      <c r="H1977" s="57"/>
      <c r="I1977" s="990"/>
      <c r="J1977" s="57"/>
      <c r="K1977" s="57"/>
      <c r="L1977" s="57"/>
      <c r="M1977" s="57"/>
      <c r="N1977" s="57"/>
      <c r="O1977" s="57"/>
      <c r="P1977" s="57"/>
      <c r="Q1977" s="57"/>
      <c r="R1977" s="57"/>
      <c r="S1977" s="57"/>
      <c r="T1977" s="57"/>
      <c r="U1977" s="57"/>
      <c r="V1977" s="57"/>
      <c r="W1977" s="57"/>
      <c r="X1977" s="57"/>
      <c r="Y1977" s="57"/>
      <c r="Z1977" s="57"/>
      <c r="AA1977" s="57"/>
      <c r="AB1977" s="57"/>
      <c r="AC1977" s="57"/>
      <c r="AD1977" s="57"/>
      <c r="AE1977" s="57"/>
      <c r="AF1977" s="57"/>
    </row>
    <row r="1978" spans="1:32" x14ac:dyDescent="0.2">
      <c r="A1978" s="57"/>
      <c r="B1978" s="57"/>
      <c r="C1978" s="57"/>
      <c r="D1978" s="57"/>
      <c r="E1978" s="57"/>
      <c r="F1978" s="985"/>
      <c r="G1978" s="57"/>
      <c r="H1978" s="57"/>
      <c r="I1978" s="990"/>
      <c r="J1978" s="57"/>
      <c r="K1978" s="57"/>
      <c r="L1978" s="57"/>
      <c r="M1978" s="57"/>
      <c r="N1978" s="57"/>
      <c r="O1978" s="57"/>
      <c r="P1978" s="57"/>
      <c r="Q1978" s="57"/>
      <c r="R1978" s="57"/>
      <c r="S1978" s="57"/>
      <c r="T1978" s="57"/>
      <c r="U1978" s="57"/>
      <c r="V1978" s="57"/>
      <c r="W1978" s="57"/>
      <c r="X1978" s="57"/>
      <c r="Y1978" s="57"/>
      <c r="Z1978" s="57"/>
      <c r="AA1978" s="57"/>
      <c r="AB1978" s="57"/>
      <c r="AC1978" s="57"/>
      <c r="AD1978" s="57"/>
      <c r="AE1978" s="57"/>
      <c r="AF1978" s="57"/>
    </row>
    <row r="1979" spans="1:32" x14ac:dyDescent="0.2">
      <c r="A1979" s="57"/>
      <c r="B1979" s="57"/>
      <c r="C1979" s="57"/>
      <c r="D1979" s="57"/>
      <c r="E1979" s="57"/>
      <c r="F1979" s="985"/>
      <c r="G1979" s="57"/>
      <c r="H1979" s="57"/>
      <c r="I1979" s="990"/>
      <c r="J1979" s="57"/>
      <c r="K1979" s="57"/>
      <c r="L1979" s="57"/>
      <c r="M1979" s="57"/>
      <c r="N1979" s="57"/>
      <c r="O1979" s="57"/>
      <c r="P1979" s="57"/>
      <c r="Q1979" s="57"/>
      <c r="R1979" s="57"/>
      <c r="S1979" s="57"/>
      <c r="T1979" s="57"/>
      <c r="U1979" s="57"/>
      <c r="V1979" s="57"/>
      <c r="W1979" s="57"/>
      <c r="X1979" s="57"/>
      <c r="Y1979" s="57"/>
      <c r="Z1979" s="57"/>
      <c r="AA1979" s="57"/>
      <c r="AB1979" s="57"/>
      <c r="AC1979" s="57"/>
      <c r="AD1979" s="57"/>
      <c r="AE1979" s="57"/>
      <c r="AF1979" s="57"/>
    </row>
    <row r="1980" spans="1:32" x14ac:dyDescent="0.2">
      <c r="A1980" s="57"/>
      <c r="B1980" s="57"/>
      <c r="C1980" s="57"/>
      <c r="D1980" s="57"/>
      <c r="E1980" s="57"/>
      <c r="F1980" s="985"/>
      <c r="G1980" s="57"/>
      <c r="H1980" s="57"/>
      <c r="I1980" s="990"/>
      <c r="J1980" s="57"/>
      <c r="K1980" s="57"/>
      <c r="L1980" s="57"/>
      <c r="M1980" s="57"/>
      <c r="N1980" s="57"/>
      <c r="O1980" s="57"/>
      <c r="P1980" s="57"/>
      <c r="Q1980" s="57"/>
      <c r="R1980" s="57"/>
      <c r="S1980" s="57"/>
      <c r="T1980" s="57"/>
      <c r="U1980" s="57"/>
      <c r="V1980" s="57"/>
      <c r="W1980" s="57"/>
      <c r="X1980" s="57"/>
      <c r="Y1980" s="57"/>
      <c r="Z1980" s="57"/>
      <c r="AA1980" s="57"/>
      <c r="AB1980" s="57"/>
      <c r="AC1980" s="57"/>
      <c r="AD1980" s="57"/>
      <c r="AE1980" s="57"/>
      <c r="AF1980" s="57"/>
    </row>
    <row r="1981" spans="1:32" x14ac:dyDescent="0.2">
      <c r="A1981" s="57"/>
      <c r="B1981" s="57"/>
      <c r="C1981" s="57"/>
      <c r="D1981" s="57"/>
      <c r="E1981" s="57"/>
      <c r="F1981" s="985"/>
      <c r="G1981" s="57"/>
      <c r="H1981" s="57"/>
      <c r="I1981" s="990"/>
      <c r="J1981" s="57"/>
      <c r="K1981" s="57"/>
      <c r="L1981" s="57"/>
      <c r="M1981" s="57"/>
      <c r="N1981" s="57"/>
      <c r="O1981" s="57"/>
      <c r="P1981" s="57"/>
      <c r="Q1981" s="57"/>
      <c r="R1981" s="57"/>
      <c r="S1981" s="57"/>
      <c r="T1981" s="57"/>
      <c r="U1981" s="57"/>
      <c r="V1981" s="57"/>
      <c r="W1981" s="57"/>
      <c r="X1981" s="57"/>
      <c r="Y1981" s="57"/>
      <c r="Z1981" s="57"/>
      <c r="AA1981" s="57"/>
      <c r="AB1981" s="57"/>
      <c r="AC1981" s="57"/>
      <c r="AD1981" s="57"/>
      <c r="AE1981" s="57"/>
      <c r="AF1981" s="57"/>
    </row>
    <row r="1982" spans="1:32" x14ac:dyDescent="0.2">
      <c r="A1982" s="57"/>
      <c r="B1982" s="57"/>
      <c r="C1982" s="57"/>
      <c r="D1982" s="57"/>
      <c r="E1982" s="57"/>
      <c r="F1982" s="985"/>
      <c r="G1982" s="57"/>
      <c r="H1982" s="57"/>
      <c r="I1982" s="990"/>
      <c r="J1982" s="57"/>
      <c r="K1982" s="57"/>
      <c r="L1982" s="57"/>
      <c r="M1982" s="57"/>
      <c r="N1982" s="57"/>
      <c r="O1982" s="57"/>
      <c r="P1982" s="57"/>
      <c r="Q1982" s="57"/>
      <c r="R1982" s="57"/>
      <c r="S1982" s="57"/>
      <c r="T1982" s="57"/>
      <c r="U1982" s="57"/>
      <c r="V1982" s="57"/>
      <c r="W1982" s="57"/>
      <c r="X1982" s="57"/>
      <c r="Y1982" s="57"/>
      <c r="Z1982" s="57"/>
      <c r="AA1982" s="57"/>
      <c r="AB1982" s="57"/>
      <c r="AC1982" s="57"/>
      <c r="AD1982" s="57"/>
      <c r="AE1982" s="57"/>
      <c r="AF1982" s="57"/>
    </row>
    <row r="1983" spans="1:32" x14ac:dyDescent="0.2">
      <c r="A1983" s="57"/>
      <c r="B1983" s="57"/>
      <c r="C1983" s="57"/>
      <c r="D1983" s="57"/>
      <c r="E1983" s="57"/>
      <c r="F1983" s="985"/>
      <c r="G1983" s="57"/>
      <c r="H1983" s="57"/>
      <c r="I1983" s="990"/>
      <c r="J1983" s="57"/>
      <c r="K1983" s="57"/>
      <c r="L1983" s="57"/>
      <c r="M1983" s="57"/>
      <c r="N1983" s="57"/>
      <c r="O1983" s="57"/>
      <c r="P1983" s="57"/>
      <c r="Q1983" s="57"/>
      <c r="R1983" s="57"/>
      <c r="S1983" s="57"/>
      <c r="T1983" s="57"/>
      <c r="U1983" s="57"/>
      <c r="V1983" s="57"/>
      <c r="W1983" s="57"/>
      <c r="X1983" s="57"/>
      <c r="Y1983" s="57"/>
      <c r="Z1983" s="57"/>
      <c r="AA1983" s="57"/>
      <c r="AB1983" s="57"/>
      <c r="AC1983" s="57"/>
      <c r="AD1983" s="57"/>
      <c r="AE1983" s="57"/>
      <c r="AF1983" s="57"/>
    </row>
    <row r="1984" spans="1:32" x14ac:dyDescent="0.2">
      <c r="A1984" s="57"/>
      <c r="B1984" s="57"/>
      <c r="C1984" s="57"/>
      <c r="D1984" s="57"/>
      <c r="E1984" s="57"/>
      <c r="F1984" s="985"/>
      <c r="G1984" s="57"/>
      <c r="H1984" s="57"/>
      <c r="I1984" s="990"/>
      <c r="J1984" s="57"/>
      <c r="K1984" s="57"/>
      <c r="L1984" s="57"/>
      <c r="M1984" s="57"/>
      <c r="N1984" s="57"/>
      <c r="O1984" s="57"/>
      <c r="P1984" s="57"/>
      <c r="Q1984" s="57"/>
      <c r="R1984" s="57"/>
      <c r="S1984" s="57"/>
      <c r="T1984" s="57"/>
      <c r="U1984" s="57"/>
      <c r="V1984" s="57"/>
      <c r="W1984" s="57"/>
      <c r="X1984" s="57"/>
      <c r="Y1984" s="57"/>
      <c r="Z1984" s="57"/>
      <c r="AA1984" s="57"/>
      <c r="AB1984" s="57"/>
      <c r="AC1984" s="57"/>
      <c r="AD1984" s="57"/>
      <c r="AE1984" s="57"/>
      <c r="AF1984" s="57"/>
    </row>
    <row r="1985" spans="1:32" x14ac:dyDescent="0.2">
      <c r="A1985" s="57"/>
      <c r="B1985" s="57"/>
      <c r="C1985" s="57"/>
      <c r="D1985" s="57"/>
      <c r="E1985" s="57"/>
      <c r="F1985" s="985"/>
      <c r="G1985" s="57"/>
      <c r="H1985" s="57"/>
      <c r="I1985" s="990"/>
      <c r="J1985" s="57"/>
      <c r="K1985" s="57"/>
      <c r="L1985" s="57"/>
      <c r="M1985" s="57"/>
      <c r="N1985" s="57"/>
      <c r="O1985" s="57"/>
      <c r="P1985" s="57"/>
      <c r="Q1985" s="57"/>
      <c r="R1985" s="57"/>
      <c r="S1985" s="57"/>
      <c r="T1985" s="57"/>
      <c r="U1985" s="57"/>
      <c r="V1985" s="57"/>
      <c r="W1985" s="57"/>
      <c r="X1985" s="57"/>
      <c r="Y1985" s="57"/>
      <c r="Z1985" s="57"/>
      <c r="AA1985" s="57"/>
      <c r="AB1985" s="57"/>
      <c r="AC1985" s="57"/>
      <c r="AD1985" s="57"/>
      <c r="AE1985" s="57"/>
      <c r="AF1985" s="57"/>
    </row>
    <row r="1986" spans="1:32" x14ac:dyDescent="0.2">
      <c r="A1986" s="57"/>
      <c r="B1986" s="57"/>
      <c r="C1986" s="57"/>
      <c r="D1986" s="57"/>
      <c r="E1986" s="57"/>
      <c r="F1986" s="985"/>
      <c r="G1986" s="57"/>
      <c r="H1986" s="57"/>
      <c r="I1986" s="990"/>
      <c r="J1986" s="57"/>
      <c r="K1986" s="57"/>
      <c r="L1986" s="57"/>
      <c r="M1986" s="57"/>
      <c r="N1986" s="57"/>
      <c r="O1986" s="57"/>
      <c r="P1986" s="57"/>
      <c r="Q1986" s="57"/>
      <c r="R1986" s="57"/>
      <c r="S1986" s="57"/>
      <c r="T1986" s="57"/>
      <c r="U1986" s="57"/>
      <c r="V1986" s="57"/>
      <c r="W1986" s="57"/>
      <c r="X1986" s="57"/>
      <c r="Y1986" s="57"/>
      <c r="Z1986" s="57"/>
      <c r="AA1986" s="57"/>
      <c r="AB1986" s="57"/>
      <c r="AC1986" s="57"/>
      <c r="AD1986" s="57"/>
      <c r="AE1986" s="57"/>
      <c r="AF1986" s="57"/>
    </row>
    <row r="1987" spans="1:32" x14ac:dyDescent="0.2">
      <c r="A1987" s="57"/>
      <c r="B1987" s="57"/>
      <c r="C1987" s="57"/>
      <c r="D1987" s="57"/>
      <c r="E1987" s="57"/>
      <c r="F1987" s="985"/>
      <c r="G1987" s="57"/>
      <c r="H1987" s="57"/>
      <c r="I1987" s="990"/>
      <c r="J1987" s="57"/>
      <c r="K1987" s="57"/>
      <c r="L1987" s="57"/>
      <c r="M1987" s="57"/>
      <c r="N1987" s="57"/>
      <c r="O1987" s="57"/>
      <c r="P1987" s="57"/>
      <c r="Q1987" s="57"/>
      <c r="R1987" s="57"/>
      <c r="S1987" s="57"/>
      <c r="T1987" s="57"/>
      <c r="U1987" s="57"/>
      <c r="V1987" s="57"/>
      <c r="W1987" s="57"/>
      <c r="X1987" s="57"/>
      <c r="Y1987" s="57"/>
      <c r="Z1987" s="57"/>
      <c r="AA1987" s="57"/>
      <c r="AB1987" s="57"/>
      <c r="AC1987" s="57"/>
      <c r="AD1987" s="57"/>
      <c r="AE1987" s="57"/>
      <c r="AF1987" s="57"/>
    </row>
    <row r="1988" spans="1:32" x14ac:dyDescent="0.2">
      <c r="A1988" s="57"/>
      <c r="B1988" s="57"/>
      <c r="C1988" s="57"/>
      <c r="D1988" s="57"/>
      <c r="E1988" s="57"/>
      <c r="F1988" s="985"/>
      <c r="G1988" s="57"/>
      <c r="H1988" s="57"/>
      <c r="I1988" s="990"/>
      <c r="J1988" s="57"/>
      <c r="K1988" s="57"/>
      <c r="L1988" s="57"/>
      <c r="M1988" s="57"/>
      <c r="N1988" s="57"/>
      <c r="O1988" s="57"/>
      <c r="P1988" s="57"/>
      <c r="Q1988" s="57"/>
      <c r="R1988" s="57"/>
      <c r="S1988" s="57"/>
      <c r="T1988" s="57"/>
      <c r="U1988" s="57"/>
      <c r="V1988" s="57"/>
      <c r="W1988" s="57"/>
      <c r="X1988" s="57"/>
      <c r="Y1988" s="57"/>
      <c r="Z1988" s="57"/>
      <c r="AA1988" s="57"/>
      <c r="AB1988" s="57"/>
      <c r="AC1988" s="57"/>
      <c r="AD1988" s="57"/>
      <c r="AE1988" s="57"/>
      <c r="AF1988" s="57"/>
    </row>
    <row r="1989" spans="1:32" x14ac:dyDescent="0.2">
      <c r="A1989" s="57"/>
      <c r="B1989" s="57"/>
      <c r="C1989" s="57"/>
      <c r="D1989" s="57"/>
      <c r="E1989" s="57"/>
      <c r="F1989" s="985"/>
      <c r="G1989" s="57"/>
      <c r="H1989" s="57"/>
      <c r="I1989" s="990"/>
      <c r="J1989" s="57"/>
      <c r="K1989" s="57"/>
      <c r="L1989" s="57"/>
      <c r="M1989" s="57"/>
      <c r="N1989" s="57"/>
      <c r="O1989" s="57"/>
      <c r="P1989" s="57"/>
      <c r="Q1989" s="57"/>
      <c r="R1989" s="57"/>
      <c r="S1989" s="57"/>
      <c r="T1989" s="57"/>
      <c r="U1989" s="57"/>
      <c r="V1989" s="57"/>
      <c r="W1989" s="57"/>
      <c r="X1989" s="57"/>
      <c r="Y1989" s="57"/>
      <c r="Z1989" s="57"/>
      <c r="AA1989" s="57"/>
      <c r="AB1989" s="57"/>
      <c r="AC1989" s="57"/>
      <c r="AD1989" s="57"/>
      <c r="AE1989" s="57"/>
      <c r="AF1989" s="57"/>
    </row>
    <row r="1990" spans="1:32" x14ac:dyDescent="0.2">
      <c r="A1990" s="57"/>
      <c r="B1990" s="57"/>
      <c r="C1990" s="57"/>
      <c r="D1990" s="57"/>
      <c r="E1990" s="57"/>
      <c r="F1990" s="985"/>
      <c r="G1990" s="57"/>
      <c r="H1990" s="57"/>
      <c r="I1990" s="990"/>
      <c r="J1990" s="57"/>
      <c r="K1990" s="57"/>
      <c r="L1990" s="57"/>
      <c r="M1990" s="57"/>
      <c r="N1990" s="57"/>
      <c r="O1990" s="57"/>
      <c r="P1990" s="57"/>
      <c r="Q1990" s="57"/>
      <c r="R1990" s="57"/>
      <c r="S1990" s="57"/>
      <c r="T1990" s="57"/>
      <c r="U1990" s="57"/>
      <c r="V1990" s="57"/>
      <c r="W1990" s="57"/>
      <c r="X1990" s="57"/>
      <c r="Y1990" s="57"/>
      <c r="Z1990" s="57"/>
      <c r="AA1990" s="57"/>
      <c r="AB1990" s="57"/>
      <c r="AC1990" s="57"/>
      <c r="AD1990" s="57"/>
      <c r="AE1990" s="57"/>
      <c r="AF1990" s="57"/>
    </row>
    <row r="1991" spans="1:32" x14ac:dyDescent="0.2">
      <c r="A1991" s="57"/>
      <c r="B1991" s="57"/>
      <c r="C1991" s="57"/>
      <c r="D1991" s="57"/>
      <c r="E1991" s="57"/>
      <c r="F1991" s="985"/>
      <c r="G1991" s="57"/>
      <c r="H1991" s="57"/>
      <c r="I1991" s="990"/>
      <c r="J1991" s="57"/>
      <c r="K1991" s="57"/>
      <c r="L1991" s="57"/>
      <c r="M1991" s="57"/>
      <c r="N1991" s="57"/>
      <c r="O1991" s="57"/>
      <c r="P1991" s="57"/>
      <c r="Q1991" s="57"/>
      <c r="R1991" s="57"/>
      <c r="S1991" s="57"/>
      <c r="T1991" s="57"/>
      <c r="U1991" s="57"/>
      <c r="V1991" s="57"/>
      <c r="W1991" s="57"/>
      <c r="X1991" s="57"/>
      <c r="Y1991" s="57"/>
      <c r="Z1991" s="57"/>
      <c r="AA1991" s="57"/>
      <c r="AB1991" s="57"/>
      <c r="AC1991" s="57"/>
      <c r="AD1991" s="57"/>
      <c r="AE1991" s="57"/>
      <c r="AF1991" s="57"/>
    </row>
    <row r="1992" spans="1:32" x14ac:dyDescent="0.2">
      <c r="A1992" s="57"/>
      <c r="B1992" s="57"/>
      <c r="C1992" s="57"/>
      <c r="D1992" s="57"/>
      <c r="E1992" s="57"/>
      <c r="F1992" s="985"/>
      <c r="G1992" s="57"/>
      <c r="H1992" s="57"/>
      <c r="I1992" s="990"/>
      <c r="J1992" s="57"/>
      <c r="K1992" s="57"/>
      <c r="L1992" s="57"/>
      <c r="M1992" s="57"/>
      <c r="N1992" s="57"/>
      <c r="O1992" s="57"/>
      <c r="P1992" s="57"/>
      <c r="Q1992" s="57"/>
      <c r="R1992" s="57"/>
      <c r="S1992" s="57"/>
      <c r="T1992" s="57"/>
      <c r="U1992" s="57"/>
      <c r="V1992" s="57"/>
      <c r="W1992" s="57"/>
      <c r="X1992" s="57"/>
      <c r="Y1992" s="57"/>
      <c r="Z1992" s="57"/>
      <c r="AA1992" s="57"/>
      <c r="AB1992" s="57"/>
      <c r="AC1992" s="57"/>
      <c r="AD1992" s="57"/>
      <c r="AE1992" s="57"/>
      <c r="AF1992" s="57"/>
    </row>
    <row r="1993" spans="1:32" x14ac:dyDescent="0.2">
      <c r="A1993" s="57"/>
      <c r="B1993" s="57"/>
      <c r="C1993" s="57"/>
      <c r="D1993" s="57"/>
      <c r="E1993" s="57"/>
      <c r="F1993" s="985"/>
      <c r="G1993" s="57"/>
      <c r="H1993" s="57"/>
      <c r="I1993" s="990"/>
      <c r="J1993" s="57"/>
      <c r="K1993" s="57"/>
      <c r="L1993" s="57"/>
      <c r="M1993" s="57"/>
      <c r="N1993" s="57"/>
      <c r="O1993" s="57"/>
      <c r="P1993" s="57"/>
      <c r="Q1993" s="57"/>
      <c r="R1993" s="57"/>
      <c r="S1993" s="57"/>
      <c r="T1993" s="57"/>
      <c r="U1993" s="57"/>
      <c r="V1993" s="57"/>
      <c r="W1993" s="57"/>
      <c r="X1993" s="57"/>
      <c r="Y1993" s="57"/>
      <c r="Z1993" s="57"/>
      <c r="AA1993" s="57"/>
      <c r="AB1993" s="57"/>
      <c r="AC1993" s="57"/>
      <c r="AD1993" s="57"/>
      <c r="AE1993" s="57"/>
      <c r="AF1993" s="57"/>
    </row>
    <row r="1994" spans="1:32" x14ac:dyDescent="0.2">
      <c r="A1994" s="57"/>
      <c r="B1994" s="57"/>
      <c r="C1994" s="57"/>
      <c r="D1994" s="57"/>
      <c r="E1994" s="57"/>
      <c r="F1994" s="985"/>
      <c r="G1994" s="57"/>
      <c r="H1994" s="57"/>
      <c r="I1994" s="990"/>
      <c r="J1994" s="57"/>
      <c r="K1994" s="57"/>
      <c r="L1994" s="57"/>
      <c r="M1994" s="57"/>
      <c r="N1994" s="57"/>
      <c r="O1994" s="57"/>
      <c r="P1994" s="57"/>
      <c r="Q1994" s="57"/>
      <c r="R1994" s="57"/>
      <c r="S1994" s="57"/>
      <c r="T1994" s="57"/>
      <c r="U1994" s="57"/>
      <c r="V1994" s="57"/>
      <c r="W1994" s="57"/>
      <c r="X1994" s="57"/>
      <c r="Y1994" s="57"/>
      <c r="Z1994" s="57"/>
      <c r="AA1994" s="57"/>
      <c r="AB1994" s="57"/>
      <c r="AC1994" s="57"/>
      <c r="AD1994" s="57"/>
      <c r="AE1994" s="57"/>
      <c r="AF1994" s="57"/>
    </row>
    <row r="1995" spans="1:32" x14ac:dyDescent="0.2">
      <c r="A1995" s="57"/>
      <c r="B1995" s="57"/>
      <c r="C1995" s="57"/>
      <c r="D1995" s="57"/>
      <c r="E1995" s="57"/>
      <c r="F1995" s="985"/>
      <c r="G1995" s="57"/>
      <c r="H1995" s="57"/>
      <c r="I1995" s="990"/>
      <c r="J1995" s="57"/>
      <c r="K1995" s="57"/>
      <c r="L1995" s="57"/>
      <c r="M1995" s="57"/>
      <c r="N1995" s="57"/>
      <c r="O1995" s="57"/>
      <c r="P1995" s="57"/>
      <c r="Q1995" s="57"/>
      <c r="R1995" s="57"/>
      <c r="S1995" s="57"/>
      <c r="T1995" s="57"/>
      <c r="U1995" s="57"/>
      <c r="V1995" s="57"/>
      <c r="W1995" s="57"/>
      <c r="X1995" s="57"/>
      <c r="Y1995" s="57"/>
      <c r="Z1995" s="57"/>
      <c r="AA1995" s="57"/>
      <c r="AB1995" s="57"/>
      <c r="AC1995" s="57"/>
      <c r="AD1995" s="57"/>
      <c r="AE1995" s="57"/>
      <c r="AF1995" s="57"/>
    </row>
    <row r="1996" spans="1:32" x14ac:dyDescent="0.2">
      <c r="A1996" s="57"/>
      <c r="B1996" s="57"/>
      <c r="C1996" s="57"/>
      <c r="D1996" s="57"/>
      <c r="E1996" s="57"/>
      <c r="F1996" s="985"/>
      <c r="G1996" s="57"/>
      <c r="H1996" s="57"/>
      <c r="I1996" s="990"/>
      <c r="J1996" s="57"/>
      <c r="K1996" s="57"/>
      <c r="L1996" s="57"/>
      <c r="M1996" s="57"/>
      <c r="N1996" s="57"/>
      <c r="O1996" s="57"/>
      <c r="P1996" s="57"/>
      <c r="Q1996" s="57"/>
      <c r="R1996" s="57"/>
      <c r="S1996" s="57"/>
      <c r="T1996" s="57"/>
      <c r="U1996" s="57"/>
      <c r="V1996" s="57"/>
      <c r="W1996" s="57"/>
      <c r="X1996" s="57"/>
      <c r="Y1996" s="57"/>
      <c r="Z1996" s="57"/>
      <c r="AA1996" s="57"/>
      <c r="AB1996" s="57"/>
      <c r="AC1996" s="57"/>
      <c r="AD1996" s="57"/>
      <c r="AE1996" s="57"/>
      <c r="AF1996" s="57"/>
    </row>
    <row r="1997" spans="1:32" x14ac:dyDescent="0.2">
      <c r="A1997" s="57"/>
      <c r="B1997" s="57"/>
      <c r="C1997" s="57"/>
      <c r="D1997" s="57"/>
      <c r="E1997" s="57"/>
      <c r="F1997" s="985"/>
      <c r="G1997" s="57"/>
      <c r="H1997" s="57"/>
      <c r="I1997" s="990"/>
      <c r="J1997" s="57"/>
      <c r="K1997" s="57"/>
      <c r="L1997" s="57"/>
      <c r="M1997" s="57"/>
      <c r="N1997" s="57"/>
      <c r="O1997" s="57"/>
      <c r="P1997" s="57"/>
      <c r="Q1997" s="57"/>
      <c r="R1997" s="57"/>
      <c r="S1997" s="57"/>
      <c r="T1997" s="57"/>
      <c r="U1997" s="57"/>
      <c r="V1997" s="57"/>
      <c r="W1997" s="57"/>
      <c r="X1997" s="57"/>
      <c r="Y1997" s="57"/>
      <c r="Z1997" s="57"/>
      <c r="AA1997" s="57"/>
      <c r="AB1997" s="57"/>
      <c r="AC1997" s="57"/>
      <c r="AD1997" s="57"/>
      <c r="AE1997" s="57"/>
      <c r="AF1997" s="57"/>
    </row>
    <row r="1998" spans="1:32" x14ac:dyDescent="0.2">
      <c r="A1998" s="57"/>
      <c r="B1998" s="57"/>
      <c r="C1998" s="57"/>
      <c r="D1998" s="57"/>
      <c r="E1998" s="57"/>
      <c r="F1998" s="985"/>
      <c r="G1998" s="57"/>
      <c r="H1998" s="57"/>
      <c r="I1998" s="990"/>
      <c r="J1998" s="57"/>
      <c r="K1998" s="57"/>
      <c r="L1998" s="57"/>
      <c r="M1998" s="57"/>
      <c r="N1998" s="57"/>
      <c r="O1998" s="57"/>
      <c r="P1998" s="57"/>
      <c r="Q1998" s="57"/>
      <c r="R1998" s="57"/>
      <c r="S1998" s="57"/>
      <c r="T1998" s="57"/>
      <c r="U1998" s="57"/>
      <c r="V1998" s="57"/>
      <c r="W1998" s="57"/>
      <c r="X1998" s="57"/>
      <c r="Y1998" s="57"/>
      <c r="Z1998" s="57"/>
      <c r="AA1998" s="57"/>
      <c r="AB1998" s="57"/>
      <c r="AC1998" s="57"/>
      <c r="AD1998" s="57"/>
      <c r="AE1998" s="57"/>
      <c r="AF1998" s="57"/>
    </row>
    <row r="1999" spans="1:32" x14ac:dyDescent="0.2">
      <c r="A1999" s="57"/>
      <c r="B1999" s="57"/>
      <c r="C1999" s="57"/>
      <c r="D1999" s="57"/>
      <c r="E1999" s="57"/>
      <c r="F1999" s="985"/>
      <c r="G1999" s="57"/>
      <c r="H1999" s="57"/>
      <c r="I1999" s="990"/>
      <c r="J1999" s="57"/>
      <c r="K1999" s="57"/>
      <c r="L1999" s="57"/>
      <c r="M1999" s="57"/>
      <c r="N1999" s="57"/>
      <c r="O1999" s="57"/>
      <c r="P1999" s="57"/>
      <c r="Q1999" s="57"/>
      <c r="R1999" s="57"/>
      <c r="S1999" s="57"/>
      <c r="T1999" s="57"/>
      <c r="U1999" s="57"/>
      <c r="V1999" s="57"/>
      <c r="W1999" s="57"/>
      <c r="X1999" s="57"/>
      <c r="Y1999" s="57"/>
      <c r="Z1999" s="57"/>
      <c r="AA1999" s="57"/>
      <c r="AB1999" s="57"/>
      <c r="AC1999" s="57"/>
      <c r="AD1999" s="57"/>
      <c r="AE1999" s="57"/>
      <c r="AF1999" s="57"/>
    </row>
    <row r="2000" spans="1:32" x14ac:dyDescent="0.2">
      <c r="A2000" s="57"/>
      <c r="B2000" s="57"/>
      <c r="C2000" s="57"/>
      <c r="D2000" s="57"/>
      <c r="E2000" s="57"/>
      <c r="F2000" s="985"/>
      <c r="G2000" s="57"/>
      <c r="H2000" s="57"/>
      <c r="I2000" s="990"/>
      <c r="J2000" s="57"/>
      <c r="K2000" s="57"/>
      <c r="L2000" s="57"/>
      <c r="M2000" s="57"/>
      <c r="N2000" s="57"/>
      <c r="O2000" s="57"/>
      <c r="P2000" s="57"/>
      <c r="Q2000" s="57"/>
      <c r="R2000" s="57"/>
      <c r="S2000" s="57"/>
      <c r="T2000" s="57"/>
      <c r="U2000" s="57"/>
      <c r="V2000" s="57"/>
      <c r="W2000" s="57"/>
      <c r="X2000" s="57"/>
      <c r="Y2000" s="57"/>
      <c r="Z2000" s="57"/>
      <c r="AA2000" s="57"/>
      <c r="AB2000" s="57"/>
      <c r="AC2000" s="57"/>
      <c r="AD2000" s="57"/>
      <c r="AE2000" s="57"/>
      <c r="AF2000" s="57"/>
    </row>
    <row r="2001" spans="1:32" x14ac:dyDescent="0.2">
      <c r="A2001" s="57"/>
      <c r="B2001" s="57"/>
      <c r="C2001" s="57"/>
      <c r="D2001" s="57"/>
      <c r="E2001" s="57"/>
      <c r="F2001" s="985"/>
      <c r="G2001" s="57"/>
      <c r="H2001" s="57"/>
      <c r="I2001" s="990"/>
      <c r="J2001" s="57"/>
      <c r="K2001" s="57"/>
      <c r="L2001" s="57"/>
      <c r="M2001" s="57"/>
      <c r="N2001" s="57"/>
      <c r="O2001" s="57"/>
      <c r="P2001" s="57"/>
      <c r="Q2001" s="57"/>
      <c r="R2001" s="57"/>
      <c r="S2001" s="57"/>
      <c r="T2001" s="57"/>
      <c r="U2001" s="57"/>
      <c r="V2001" s="57"/>
      <c r="W2001" s="57"/>
      <c r="X2001" s="57"/>
      <c r="Y2001" s="57"/>
      <c r="Z2001" s="57"/>
      <c r="AA2001" s="57"/>
      <c r="AB2001" s="57"/>
      <c r="AC2001" s="57"/>
      <c r="AD2001" s="57"/>
      <c r="AE2001" s="57"/>
      <c r="AF2001" s="57"/>
    </row>
    <row r="2002" spans="1:32" x14ac:dyDescent="0.2">
      <c r="A2002" s="57"/>
      <c r="B2002" s="57"/>
      <c r="C2002" s="57"/>
      <c r="D2002" s="57"/>
      <c r="E2002" s="57"/>
      <c r="F2002" s="985"/>
      <c r="G2002" s="57"/>
      <c r="H2002" s="57"/>
      <c r="I2002" s="990"/>
      <c r="J2002" s="57"/>
      <c r="K2002" s="57"/>
      <c r="L2002" s="57"/>
      <c r="M2002" s="57"/>
      <c r="N2002" s="57"/>
      <c r="O2002" s="57"/>
      <c r="P2002" s="57"/>
      <c r="Q2002" s="57"/>
      <c r="R2002" s="57"/>
      <c r="S2002" s="57"/>
      <c r="T2002" s="57"/>
      <c r="U2002" s="57"/>
      <c r="V2002" s="57"/>
      <c r="W2002" s="57"/>
      <c r="X2002" s="57"/>
      <c r="Y2002" s="57"/>
      <c r="Z2002" s="57"/>
      <c r="AA2002" s="57"/>
      <c r="AB2002" s="57"/>
      <c r="AC2002" s="57"/>
      <c r="AD2002" s="57"/>
      <c r="AE2002" s="57"/>
      <c r="AF2002" s="57"/>
    </row>
    <row r="2003" spans="1:32" x14ac:dyDescent="0.2">
      <c r="A2003" s="57"/>
      <c r="B2003" s="57"/>
      <c r="C2003" s="57"/>
      <c r="D2003" s="57"/>
      <c r="E2003" s="57"/>
      <c r="F2003" s="985"/>
      <c r="G2003" s="57"/>
      <c r="H2003" s="57"/>
      <c r="I2003" s="990"/>
      <c r="J2003" s="57"/>
      <c r="K2003" s="57"/>
      <c r="L2003" s="57"/>
      <c r="M2003" s="57"/>
      <c r="N2003" s="57"/>
      <c r="O2003" s="57"/>
      <c r="P2003" s="57"/>
      <c r="Q2003" s="57"/>
      <c r="R2003" s="57"/>
      <c r="S2003" s="57"/>
      <c r="T2003" s="57"/>
      <c r="U2003" s="57"/>
      <c r="V2003" s="57"/>
      <c r="W2003" s="57"/>
      <c r="X2003" s="57"/>
      <c r="Y2003" s="57"/>
      <c r="Z2003" s="57"/>
      <c r="AA2003" s="57"/>
      <c r="AB2003" s="57"/>
      <c r="AC2003" s="57"/>
      <c r="AD2003" s="57"/>
      <c r="AE2003" s="57"/>
      <c r="AF2003" s="57"/>
    </row>
    <row r="2004" spans="1:32" x14ac:dyDescent="0.2">
      <c r="A2004" s="57"/>
      <c r="B2004" s="57"/>
      <c r="C2004" s="57"/>
      <c r="D2004" s="57"/>
      <c r="E2004" s="57"/>
      <c r="F2004" s="985"/>
      <c r="G2004" s="57"/>
      <c r="H2004" s="57"/>
      <c r="I2004" s="990"/>
      <c r="J2004" s="57"/>
      <c r="K2004" s="57"/>
      <c r="L2004" s="57"/>
      <c r="M2004" s="57"/>
      <c r="N2004" s="57"/>
      <c r="O2004" s="57"/>
      <c r="P2004" s="57"/>
      <c r="Q2004" s="57"/>
      <c r="R2004" s="57"/>
      <c r="S2004" s="57"/>
      <c r="T2004" s="57"/>
      <c r="U2004" s="57"/>
      <c r="V2004" s="57"/>
      <c r="W2004" s="57"/>
      <c r="X2004" s="57"/>
      <c r="Y2004" s="57"/>
      <c r="Z2004" s="57"/>
      <c r="AA2004" s="57"/>
      <c r="AB2004" s="57"/>
      <c r="AC2004" s="57"/>
      <c r="AD2004" s="57"/>
      <c r="AE2004" s="57"/>
      <c r="AF2004" s="57"/>
    </row>
    <row r="2005" spans="1:32" x14ac:dyDescent="0.2">
      <c r="A2005" s="57"/>
      <c r="B2005" s="57"/>
      <c r="C2005" s="57"/>
      <c r="D2005" s="57"/>
      <c r="E2005" s="57"/>
      <c r="F2005" s="985"/>
      <c r="G2005" s="57"/>
      <c r="H2005" s="57"/>
      <c r="I2005" s="990"/>
      <c r="J2005" s="57"/>
      <c r="K2005" s="57"/>
      <c r="L2005" s="57"/>
      <c r="M2005" s="57"/>
      <c r="N2005" s="57"/>
      <c r="O2005" s="57"/>
      <c r="P2005" s="57"/>
      <c r="Q2005" s="57"/>
      <c r="R2005" s="57"/>
      <c r="S2005" s="57"/>
      <c r="T2005" s="57"/>
      <c r="U2005" s="57"/>
      <c r="V2005" s="57"/>
      <c r="W2005" s="57"/>
      <c r="X2005" s="57"/>
      <c r="Y2005" s="57"/>
      <c r="Z2005" s="57"/>
      <c r="AA2005" s="57"/>
      <c r="AB2005" s="57"/>
      <c r="AC2005" s="57"/>
      <c r="AD2005" s="57"/>
      <c r="AE2005" s="57"/>
      <c r="AF2005" s="57"/>
    </row>
    <row r="2006" spans="1:32" x14ac:dyDescent="0.2">
      <c r="A2006" s="57"/>
      <c r="B2006" s="57"/>
      <c r="C2006" s="57"/>
      <c r="D2006" s="57"/>
      <c r="E2006" s="57"/>
      <c r="F2006" s="985"/>
      <c r="G2006" s="57"/>
      <c r="H2006" s="57"/>
      <c r="I2006" s="990"/>
      <c r="J2006" s="57"/>
      <c r="K2006" s="57"/>
      <c r="L2006" s="57"/>
      <c r="M2006" s="57"/>
      <c r="N2006" s="57"/>
      <c r="O2006" s="57"/>
      <c r="P2006" s="57"/>
      <c r="Q2006" s="57"/>
      <c r="R2006" s="57"/>
      <c r="S2006" s="57"/>
      <c r="T2006" s="57"/>
      <c r="U2006" s="57"/>
      <c r="V2006" s="57"/>
      <c r="W2006" s="57"/>
      <c r="X2006" s="57"/>
      <c r="Y2006" s="57"/>
      <c r="Z2006" s="57"/>
      <c r="AA2006" s="57"/>
      <c r="AB2006" s="57"/>
      <c r="AC2006" s="57"/>
      <c r="AD2006" s="57"/>
      <c r="AE2006" s="57"/>
      <c r="AF2006" s="57"/>
    </row>
    <row r="2007" spans="1:32" x14ac:dyDescent="0.2">
      <c r="A2007" s="57"/>
      <c r="B2007" s="57"/>
      <c r="C2007" s="57"/>
      <c r="D2007" s="57"/>
      <c r="E2007" s="57"/>
      <c r="F2007" s="985"/>
      <c r="G2007" s="57"/>
      <c r="H2007" s="57"/>
      <c r="I2007" s="990"/>
      <c r="J2007" s="57"/>
      <c r="K2007" s="57"/>
      <c r="L2007" s="57"/>
      <c r="M2007" s="57"/>
      <c r="N2007" s="57"/>
      <c r="O2007" s="57"/>
      <c r="P2007" s="57"/>
      <c r="Q2007" s="57"/>
      <c r="R2007" s="57"/>
      <c r="S2007" s="57"/>
      <c r="T2007" s="57"/>
      <c r="U2007" s="57"/>
      <c r="V2007" s="57"/>
      <c r="W2007" s="57"/>
      <c r="X2007" s="57"/>
      <c r="Y2007" s="57"/>
      <c r="Z2007" s="57"/>
      <c r="AA2007" s="57"/>
      <c r="AB2007" s="57"/>
      <c r="AC2007" s="57"/>
      <c r="AD2007" s="57"/>
      <c r="AE2007" s="57"/>
      <c r="AF2007" s="57"/>
    </row>
    <row r="2008" spans="1:32" x14ac:dyDescent="0.2">
      <c r="A2008" s="57"/>
      <c r="B2008" s="57"/>
      <c r="C2008" s="57"/>
      <c r="D2008" s="57"/>
      <c r="E2008" s="57"/>
      <c r="F2008" s="985"/>
      <c r="G2008" s="57"/>
      <c r="H2008" s="57"/>
      <c r="I2008" s="990"/>
      <c r="J2008" s="57"/>
      <c r="K2008" s="57"/>
      <c r="L2008" s="57"/>
      <c r="M2008" s="57"/>
      <c r="N2008" s="57"/>
      <c r="O2008" s="57"/>
      <c r="P2008" s="57"/>
      <c r="Q2008" s="57"/>
      <c r="R2008" s="57"/>
      <c r="S2008" s="57"/>
      <c r="T2008" s="57"/>
      <c r="U2008" s="57"/>
      <c r="V2008" s="57"/>
      <c r="W2008" s="57"/>
      <c r="X2008" s="57"/>
      <c r="Y2008" s="57"/>
      <c r="Z2008" s="57"/>
      <c r="AA2008" s="57"/>
      <c r="AB2008" s="57"/>
      <c r="AC2008" s="57"/>
      <c r="AD2008" s="57"/>
      <c r="AE2008" s="57"/>
      <c r="AF2008" s="57"/>
    </row>
    <row r="2009" spans="1:32" x14ac:dyDescent="0.2">
      <c r="A2009" s="57"/>
      <c r="B2009" s="57"/>
      <c r="C2009" s="57"/>
      <c r="D2009" s="57"/>
      <c r="E2009" s="57"/>
      <c r="F2009" s="985"/>
      <c r="G2009" s="57"/>
      <c r="H2009" s="57"/>
      <c r="I2009" s="990"/>
      <c r="J2009" s="57"/>
      <c r="K2009" s="57"/>
      <c r="L2009" s="57"/>
      <c r="M2009" s="57"/>
      <c r="N2009" s="57"/>
      <c r="O2009" s="57"/>
      <c r="P2009" s="57"/>
      <c r="Q2009" s="57"/>
      <c r="R2009" s="57"/>
      <c r="S2009" s="57"/>
      <c r="T2009" s="57"/>
      <c r="U2009" s="57"/>
      <c r="V2009" s="57"/>
      <c r="W2009" s="57"/>
      <c r="X2009" s="57"/>
      <c r="Y2009" s="57"/>
      <c r="Z2009" s="57"/>
      <c r="AA2009" s="57"/>
      <c r="AB2009" s="57"/>
      <c r="AC2009" s="57"/>
      <c r="AD2009" s="57"/>
      <c r="AE2009" s="57"/>
      <c r="AF2009" s="57"/>
    </row>
    <row r="2010" spans="1:32" x14ac:dyDescent="0.2">
      <c r="A2010" s="57"/>
      <c r="B2010" s="57"/>
      <c r="C2010" s="57"/>
      <c r="D2010" s="57"/>
      <c r="E2010" s="57"/>
      <c r="F2010" s="985"/>
      <c r="G2010" s="57"/>
      <c r="H2010" s="57"/>
      <c r="I2010" s="990"/>
      <c r="J2010" s="57"/>
      <c r="K2010" s="57"/>
      <c r="L2010" s="57"/>
      <c r="M2010" s="57"/>
      <c r="N2010" s="57"/>
      <c r="O2010" s="57"/>
      <c r="P2010" s="57"/>
      <c r="Q2010" s="57"/>
      <c r="R2010" s="57"/>
      <c r="S2010" s="57"/>
      <c r="T2010" s="57"/>
      <c r="U2010" s="57"/>
      <c r="V2010" s="57"/>
      <c r="W2010" s="57"/>
      <c r="X2010" s="57"/>
      <c r="Y2010" s="57"/>
      <c r="Z2010" s="57"/>
      <c r="AA2010" s="57"/>
      <c r="AB2010" s="57"/>
      <c r="AC2010" s="57"/>
      <c r="AD2010" s="57"/>
      <c r="AE2010" s="57"/>
      <c r="AF2010" s="57"/>
    </row>
    <row r="2011" spans="1:32" x14ac:dyDescent="0.2">
      <c r="A2011" s="57"/>
      <c r="B2011" s="57"/>
      <c r="C2011" s="57"/>
      <c r="D2011" s="57"/>
      <c r="E2011" s="57"/>
      <c r="F2011" s="985"/>
      <c r="G2011" s="57"/>
      <c r="H2011" s="57"/>
      <c r="I2011" s="990"/>
      <c r="J2011" s="57"/>
      <c r="K2011" s="57"/>
      <c r="L2011" s="57"/>
      <c r="M2011" s="57"/>
      <c r="N2011" s="57"/>
      <c r="O2011" s="57"/>
      <c r="P2011" s="57"/>
      <c r="Q2011" s="57"/>
      <c r="R2011" s="57"/>
      <c r="S2011" s="57"/>
      <c r="T2011" s="57"/>
      <c r="U2011" s="57"/>
      <c r="V2011" s="57"/>
      <c r="W2011" s="57"/>
      <c r="X2011" s="57"/>
      <c r="Y2011" s="57"/>
      <c r="Z2011" s="57"/>
      <c r="AA2011" s="57"/>
      <c r="AB2011" s="57"/>
      <c r="AC2011" s="57"/>
      <c r="AD2011" s="57"/>
      <c r="AE2011" s="57"/>
      <c r="AF2011" s="57"/>
    </row>
    <row r="2012" spans="1:32" x14ac:dyDescent="0.2">
      <c r="A2012" s="57"/>
      <c r="B2012" s="57"/>
      <c r="C2012" s="57"/>
      <c r="D2012" s="57"/>
      <c r="E2012" s="57"/>
      <c r="F2012" s="985"/>
      <c r="G2012" s="57"/>
      <c r="H2012" s="57"/>
      <c r="I2012" s="990"/>
      <c r="J2012" s="57"/>
      <c r="K2012" s="57"/>
      <c r="L2012" s="57"/>
      <c r="M2012" s="57"/>
      <c r="N2012" s="57"/>
      <c r="O2012" s="57"/>
      <c r="P2012" s="57"/>
      <c r="Q2012" s="57"/>
      <c r="R2012" s="57"/>
      <c r="S2012" s="57"/>
      <c r="T2012" s="57"/>
      <c r="U2012" s="57"/>
      <c r="V2012" s="57"/>
      <c r="W2012" s="57"/>
      <c r="X2012" s="57"/>
      <c r="Y2012" s="57"/>
      <c r="Z2012" s="57"/>
      <c r="AA2012" s="57"/>
      <c r="AB2012" s="57"/>
      <c r="AC2012" s="57"/>
      <c r="AD2012" s="57"/>
      <c r="AE2012" s="57"/>
      <c r="AF2012" s="57"/>
    </row>
    <row r="2013" spans="1:32" x14ac:dyDescent="0.2">
      <c r="A2013" s="57"/>
      <c r="B2013" s="57"/>
      <c r="C2013" s="57"/>
      <c r="D2013" s="57"/>
      <c r="E2013" s="57"/>
      <c r="F2013" s="985"/>
      <c r="G2013" s="57"/>
      <c r="H2013" s="57"/>
      <c r="I2013" s="990"/>
      <c r="J2013" s="57"/>
      <c r="K2013" s="57"/>
      <c r="L2013" s="57"/>
      <c r="M2013" s="57"/>
      <c r="N2013" s="57"/>
      <c r="O2013" s="57"/>
      <c r="P2013" s="57"/>
      <c r="Q2013" s="57"/>
      <c r="R2013" s="57"/>
      <c r="S2013" s="57"/>
      <c r="T2013" s="57"/>
      <c r="U2013" s="57"/>
      <c r="V2013" s="57"/>
      <c r="W2013" s="57"/>
      <c r="X2013" s="57"/>
      <c r="Y2013" s="57"/>
      <c r="Z2013" s="57"/>
      <c r="AA2013" s="57"/>
      <c r="AB2013" s="57"/>
      <c r="AC2013" s="57"/>
      <c r="AD2013" s="57"/>
      <c r="AE2013" s="57"/>
      <c r="AF2013" s="57"/>
    </row>
    <row r="2014" spans="1:32" x14ac:dyDescent="0.2">
      <c r="A2014" s="57"/>
      <c r="B2014" s="57"/>
      <c r="C2014" s="57"/>
      <c r="D2014" s="57"/>
      <c r="E2014" s="57"/>
      <c r="F2014" s="985"/>
      <c r="G2014" s="57"/>
      <c r="H2014" s="57"/>
      <c r="I2014" s="990"/>
      <c r="J2014" s="57"/>
      <c r="K2014" s="57"/>
      <c r="L2014" s="57"/>
      <c r="M2014" s="57"/>
      <c r="N2014" s="57"/>
      <c r="O2014" s="57"/>
      <c r="P2014" s="57"/>
      <c r="Q2014" s="57"/>
      <c r="R2014" s="57"/>
      <c r="S2014" s="57"/>
      <c r="T2014" s="57"/>
      <c r="U2014" s="57"/>
      <c r="V2014" s="57"/>
      <c r="W2014" s="57"/>
      <c r="X2014" s="57"/>
      <c r="Y2014" s="57"/>
      <c r="Z2014" s="57"/>
      <c r="AA2014" s="57"/>
      <c r="AB2014" s="57"/>
      <c r="AC2014" s="57"/>
      <c r="AD2014" s="57"/>
      <c r="AE2014" s="57"/>
      <c r="AF2014" s="57"/>
    </row>
    <row r="2015" spans="1:32" x14ac:dyDescent="0.2">
      <c r="A2015" s="57"/>
      <c r="B2015" s="57"/>
      <c r="C2015" s="57"/>
      <c r="D2015" s="57"/>
      <c r="E2015" s="57"/>
      <c r="F2015" s="985"/>
      <c r="G2015" s="57"/>
      <c r="H2015" s="57"/>
      <c r="I2015" s="990"/>
      <c r="J2015" s="57"/>
      <c r="K2015" s="57"/>
      <c r="L2015" s="57"/>
      <c r="M2015" s="57"/>
      <c r="N2015" s="57"/>
      <c r="O2015" s="57"/>
      <c r="P2015" s="57"/>
      <c r="Q2015" s="57"/>
      <c r="R2015" s="57"/>
      <c r="S2015" s="57"/>
      <c r="T2015" s="57"/>
      <c r="U2015" s="57"/>
      <c r="V2015" s="57"/>
      <c r="W2015" s="57"/>
      <c r="X2015" s="57"/>
      <c r="Y2015" s="57"/>
      <c r="Z2015" s="57"/>
      <c r="AA2015" s="57"/>
      <c r="AB2015" s="57"/>
      <c r="AC2015" s="57"/>
      <c r="AD2015" s="57"/>
      <c r="AE2015" s="57"/>
      <c r="AF2015" s="57"/>
    </row>
    <row r="2016" spans="1:32" x14ac:dyDescent="0.2">
      <c r="A2016" s="57"/>
      <c r="B2016" s="57"/>
      <c r="C2016" s="57"/>
      <c r="D2016" s="57"/>
      <c r="E2016" s="57"/>
      <c r="F2016" s="985"/>
      <c r="G2016" s="57"/>
      <c r="H2016" s="57"/>
      <c r="I2016" s="990"/>
      <c r="J2016" s="57"/>
      <c r="K2016" s="57"/>
      <c r="L2016" s="57"/>
      <c r="M2016" s="57"/>
      <c r="N2016" s="57"/>
      <c r="O2016" s="57"/>
      <c r="P2016" s="57"/>
      <c r="Q2016" s="57"/>
      <c r="R2016" s="57"/>
      <c r="S2016" s="57"/>
      <c r="T2016" s="57"/>
      <c r="U2016" s="57"/>
      <c r="V2016" s="57"/>
      <c r="W2016" s="57"/>
      <c r="X2016" s="57"/>
      <c r="Y2016" s="57"/>
      <c r="Z2016" s="57"/>
      <c r="AA2016" s="57"/>
      <c r="AB2016" s="57"/>
      <c r="AC2016" s="57"/>
      <c r="AD2016" s="57"/>
      <c r="AE2016" s="57"/>
      <c r="AF2016" s="57"/>
    </row>
    <row r="2017" spans="1:32" x14ac:dyDescent="0.2">
      <c r="A2017" s="57"/>
      <c r="B2017" s="57"/>
      <c r="C2017" s="57"/>
      <c r="D2017" s="57"/>
      <c r="E2017" s="57"/>
      <c r="F2017" s="985"/>
      <c r="G2017" s="57"/>
      <c r="H2017" s="57"/>
      <c r="I2017" s="990"/>
      <c r="J2017" s="57"/>
      <c r="K2017" s="57"/>
      <c r="L2017" s="57"/>
      <c r="M2017" s="57"/>
      <c r="N2017" s="57"/>
      <c r="O2017" s="57"/>
      <c r="P2017" s="57"/>
      <c r="Q2017" s="57"/>
      <c r="R2017" s="57"/>
      <c r="S2017" s="57"/>
      <c r="T2017" s="57"/>
      <c r="U2017" s="57"/>
      <c r="V2017" s="57"/>
      <c r="W2017" s="57"/>
      <c r="X2017" s="57"/>
      <c r="Y2017" s="57"/>
      <c r="Z2017" s="57"/>
      <c r="AA2017" s="57"/>
      <c r="AB2017" s="57"/>
      <c r="AC2017" s="57"/>
      <c r="AD2017" s="57"/>
      <c r="AE2017" s="57"/>
      <c r="AF2017" s="57"/>
    </row>
    <row r="2018" spans="1:32" x14ac:dyDescent="0.2">
      <c r="A2018" s="57"/>
      <c r="B2018" s="57"/>
      <c r="C2018" s="57"/>
      <c r="D2018" s="57"/>
      <c r="E2018" s="57"/>
      <c r="F2018" s="985"/>
      <c r="G2018" s="57"/>
      <c r="H2018" s="57"/>
      <c r="I2018" s="990"/>
      <c r="J2018" s="57"/>
      <c r="K2018" s="57"/>
      <c r="L2018" s="57"/>
      <c r="M2018" s="57"/>
      <c r="N2018" s="57"/>
      <c r="O2018" s="57"/>
      <c r="P2018" s="57"/>
      <c r="Q2018" s="57"/>
      <c r="R2018" s="57"/>
      <c r="S2018" s="57"/>
      <c r="T2018" s="57"/>
      <c r="U2018" s="57"/>
      <c r="V2018" s="57"/>
      <c r="W2018" s="57"/>
      <c r="X2018" s="57"/>
      <c r="Y2018" s="57"/>
      <c r="Z2018" s="57"/>
      <c r="AA2018" s="57"/>
      <c r="AB2018" s="57"/>
      <c r="AC2018" s="57"/>
      <c r="AD2018" s="57"/>
      <c r="AE2018" s="57"/>
      <c r="AF2018" s="57"/>
    </row>
    <row r="2019" spans="1:32" x14ac:dyDescent="0.2">
      <c r="A2019" s="57"/>
      <c r="B2019" s="57"/>
      <c r="C2019" s="57"/>
      <c r="D2019" s="57"/>
      <c r="E2019" s="57"/>
      <c r="F2019" s="985"/>
      <c r="G2019" s="57"/>
      <c r="H2019" s="57"/>
      <c r="I2019" s="990"/>
      <c r="J2019" s="57"/>
      <c r="K2019" s="57"/>
      <c r="L2019" s="57"/>
      <c r="M2019" s="57"/>
      <c r="N2019" s="57"/>
      <c r="O2019" s="57"/>
      <c r="P2019" s="57"/>
      <c r="Q2019" s="57"/>
      <c r="R2019" s="57"/>
      <c r="S2019" s="57"/>
      <c r="T2019" s="57"/>
      <c r="U2019" s="57"/>
      <c r="V2019" s="57"/>
      <c r="W2019" s="57"/>
      <c r="X2019" s="57"/>
      <c r="Y2019" s="57"/>
      <c r="Z2019" s="57"/>
      <c r="AA2019" s="57"/>
      <c r="AB2019" s="57"/>
      <c r="AC2019" s="57"/>
      <c r="AD2019" s="57"/>
      <c r="AE2019" s="57"/>
      <c r="AF2019" s="57"/>
    </row>
    <row r="2020" spans="1:32" x14ac:dyDescent="0.2">
      <c r="A2020" s="57"/>
      <c r="B2020" s="57"/>
      <c r="C2020" s="57"/>
      <c r="D2020" s="57"/>
      <c r="E2020" s="57"/>
      <c r="F2020" s="985"/>
      <c r="G2020" s="57"/>
      <c r="H2020" s="57"/>
      <c r="I2020" s="990"/>
      <c r="J2020" s="57"/>
      <c r="K2020" s="57"/>
      <c r="L2020" s="57"/>
      <c r="M2020" s="57"/>
      <c r="N2020" s="57"/>
      <c r="O2020" s="57"/>
      <c r="P2020" s="57"/>
      <c r="Q2020" s="57"/>
      <c r="R2020" s="57"/>
      <c r="S2020" s="57"/>
      <c r="T2020" s="57"/>
      <c r="U2020" s="57"/>
      <c r="V2020" s="57"/>
      <c r="W2020" s="57"/>
      <c r="X2020" s="57"/>
      <c r="Y2020" s="57"/>
      <c r="Z2020" s="57"/>
      <c r="AA2020" s="57"/>
      <c r="AB2020" s="57"/>
      <c r="AC2020" s="57"/>
      <c r="AD2020" s="57"/>
      <c r="AE2020" s="57"/>
      <c r="AF2020" s="57"/>
    </row>
    <row r="2021" spans="1:32" x14ac:dyDescent="0.2">
      <c r="A2021" s="57"/>
      <c r="B2021" s="57"/>
      <c r="C2021" s="57"/>
      <c r="D2021" s="57"/>
      <c r="E2021" s="57"/>
      <c r="F2021" s="985"/>
      <c r="G2021" s="57"/>
      <c r="H2021" s="57"/>
      <c r="I2021" s="990"/>
      <c r="J2021" s="57"/>
      <c r="K2021" s="57"/>
      <c r="L2021" s="57"/>
      <c r="M2021" s="57"/>
      <c r="N2021" s="57"/>
      <c r="O2021" s="57"/>
      <c r="P2021" s="57"/>
      <c r="Q2021" s="57"/>
      <c r="R2021" s="57"/>
      <c r="S2021" s="57"/>
      <c r="T2021" s="57"/>
      <c r="U2021" s="57"/>
      <c r="V2021" s="57"/>
      <c r="W2021" s="57"/>
      <c r="X2021" s="57"/>
      <c r="Y2021" s="57"/>
      <c r="Z2021" s="57"/>
      <c r="AA2021" s="57"/>
      <c r="AB2021" s="57"/>
      <c r="AC2021" s="57"/>
      <c r="AD2021" s="57"/>
      <c r="AE2021" s="57"/>
      <c r="AF2021" s="57"/>
    </row>
    <row r="2022" spans="1:32" x14ac:dyDescent="0.2">
      <c r="A2022" s="57"/>
      <c r="B2022" s="57"/>
      <c r="C2022" s="57"/>
      <c r="D2022" s="57"/>
      <c r="E2022" s="57"/>
      <c r="F2022" s="985"/>
      <c r="G2022" s="57"/>
      <c r="H2022" s="57"/>
      <c r="I2022" s="990"/>
      <c r="J2022" s="57"/>
      <c r="K2022" s="57"/>
      <c r="L2022" s="57"/>
      <c r="M2022" s="57"/>
      <c r="N2022" s="57"/>
      <c r="O2022" s="57"/>
      <c r="P2022" s="57"/>
      <c r="Q2022" s="57"/>
      <c r="R2022" s="57"/>
      <c r="S2022" s="57"/>
      <c r="T2022" s="57"/>
      <c r="U2022" s="57"/>
      <c r="V2022" s="57"/>
      <c r="W2022" s="57"/>
      <c r="X2022" s="57"/>
      <c r="Y2022" s="57"/>
      <c r="Z2022" s="57"/>
      <c r="AA2022" s="57"/>
      <c r="AB2022" s="57"/>
      <c r="AC2022" s="57"/>
      <c r="AD2022" s="57"/>
      <c r="AE2022" s="57"/>
      <c r="AF2022" s="57"/>
    </row>
    <row r="2023" spans="1:32" x14ac:dyDescent="0.2">
      <c r="A2023" s="57"/>
      <c r="B2023" s="57"/>
      <c r="C2023" s="57"/>
      <c r="D2023" s="57"/>
      <c r="E2023" s="57"/>
      <c r="F2023" s="985"/>
      <c r="G2023" s="57"/>
      <c r="H2023" s="57"/>
      <c r="I2023" s="990"/>
      <c r="J2023" s="57"/>
      <c r="K2023" s="57"/>
      <c r="L2023" s="57"/>
      <c r="M2023" s="57"/>
      <c r="N2023" s="57"/>
      <c r="O2023" s="57"/>
      <c r="P2023" s="57"/>
      <c r="Q2023" s="57"/>
      <c r="R2023" s="57"/>
      <c r="S2023" s="57"/>
      <c r="T2023" s="57"/>
      <c r="U2023" s="57"/>
      <c r="V2023" s="57"/>
      <c r="W2023" s="57"/>
      <c r="X2023" s="57"/>
      <c r="Y2023" s="57"/>
      <c r="Z2023" s="57"/>
      <c r="AA2023" s="57"/>
      <c r="AB2023" s="57"/>
      <c r="AC2023" s="57"/>
      <c r="AD2023" s="57"/>
      <c r="AE2023" s="57"/>
      <c r="AF2023" s="57"/>
    </row>
    <row r="2024" spans="1:32" x14ac:dyDescent="0.2">
      <c r="A2024" s="57"/>
      <c r="B2024" s="57"/>
      <c r="C2024" s="57"/>
      <c r="D2024" s="57"/>
      <c r="E2024" s="57"/>
      <c r="F2024" s="985"/>
      <c r="G2024" s="57"/>
      <c r="H2024" s="57"/>
      <c r="I2024" s="990"/>
      <c r="J2024" s="57"/>
      <c r="K2024" s="57"/>
      <c r="L2024" s="57"/>
      <c r="M2024" s="57"/>
      <c r="N2024" s="57"/>
      <c r="O2024" s="57"/>
      <c r="P2024" s="57"/>
      <c r="Q2024" s="57"/>
      <c r="R2024" s="57"/>
      <c r="S2024" s="57"/>
      <c r="T2024" s="57"/>
      <c r="U2024" s="57"/>
      <c r="V2024" s="57"/>
      <c r="W2024" s="57"/>
      <c r="X2024" s="57"/>
      <c r="Y2024" s="57"/>
      <c r="Z2024" s="57"/>
      <c r="AA2024" s="57"/>
      <c r="AB2024" s="57"/>
      <c r="AC2024" s="57"/>
      <c r="AD2024" s="57"/>
      <c r="AE2024" s="57"/>
      <c r="AF2024" s="57"/>
    </row>
    <row r="2025" spans="1:32" x14ac:dyDescent="0.2">
      <c r="A2025" s="57"/>
      <c r="B2025" s="57"/>
      <c r="C2025" s="57"/>
      <c r="D2025" s="57"/>
      <c r="E2025" s="57"/>
      <c r="F2025" s="985"/>
      <c r="G2025" s="57"/>
      <c r="H2025" s="57"/>
      <c r="I2025" s="990"/>
      <c r="J2025" s="57"/>
      <c r="K2025" s="57"/>
      <c r="L2025" s="57"/>
      <c r="M2025" s="57"/>
      <c r="N2025" s="57"/>
      <c r="O2025" s="57"/>
      <c r="P2025" s="57"/>
      <c r="Q2025" s="57"/>
      <c r="R2025" s="57"/>
      <c r="S2025" s="57"/>
      <c r="T2025" s="57"/>
      <c r="U2025" s="57"/>
      <c r="V2025" s="57"/>
      <c r="W2025" s="57"/>
      <c r="X2025" s="57"/>
      <c r="Y2025" s="57"/>
      <c r="Z2025" s="57"/>
      <c r="AA2025" s="57"/>
      <c r="AB2025" s="57"/>
      <c r="AC2025" s="57"/>
      <c r="AD2025" s="57"/>
      <c r="AE2025" s="57"/>
      <c r="AF2025" s="57"/>
    </row>
    <row r="2026" spans="1:32" x14ac:dyDescent="0.2">
      <c r="A2026" s="57"/>
      <c r="B2026" s="57"/>
      <c r="C2026" s="57"/>
      <c r="D2026" s="57"/>
      <c r="E2026" s="57"/>
      <c r="F2026" s="985"/>
      <c r="G2026" s="57"/>
      <c r="H2026" s="57"/>
      <c r="I2026" s="990"/>
      <c r="J2026" s="57"/>
      <c r="K2026" s="57"/>
      <c r="L2026" s="57"/>
      <c r="M2026" s="57"/>
      <c r="N2026" s="57"/>
      <c r="O2026" s="57"/>
      <c r="P2026" s="57"/>
      <c r="Q2026" s="57"/>
      <c r="R2026" s="57"/>
      <c r="S2026" s="57"/>
      <c r="T2026" s="57"/>
      <c r="U2026" s="57"/>
      <c r="V2026" s="57"/>
      <c r="W2026" s="57"/>
      <c r="X2026" s="57"/>
      <c r="Y2026" s="57"/>
      <c r="Z2026" s="57"/>
      <c r="AA2026" s="57"/>
      <c r="AB2026" s="57"/>
      <c r="AC2026" s="57"/>
      <c r="AD2026" s="57"/>
      <c r="AE2026" s="57"/>
      <c r="AF2026" s="57"/>
    </row>
    <row r="2027" spans="1:32" x14ac:dyDescent="0.2">
      <c r="A2027" s="57"/>
      <c r="B2027" s="57"/>
      <c r="C2027" s="57"/>
      <c r="D2027" s="57"/>
      <c r="E2027" s="57"/>
      <c r="F2027" s="985"/>
      <c r="G2027" s="57"/>
      <c r="H2027" s="57"/>
      <c r="I2027" s="990"/>
      <c r="J2027" s="57"/>
      <c r="K2027" s="57"/>
      <c r="L2027" s="57"/>
      <c r="M2027" s="57"/>
      <c r="N2027" s="57"/>
      <c r="O2027" s="57"/>
      <c r="P2027" s="57"/>
      <c r="Q2027" s="57"/>
      <c r="R2027" s="57"/>
      <c r="S2027" s="57"/>
      <c r="T2027" s="57"/>
      <c r="U2027" s="57"/>
      <c r="V2027" s="57"/>
      <c r="W2027" s="57"/>
      <c r="X2027" s="57"/>
      <c r="Y2027" s="57"/>
      <c r="Z2027" s="57"/>
      <c r="AA2027" s="57"/>
      <c r="AB2027" s="57"/>
      <c r="AC2027" s="57"/>
      <c r="AD2027" s="57"/>
      <c r="AE2027" s="57"/>
      <c r="AF2027" s="57"/>
    </row>
    <row r="2028" spans="1:32" x14ac:dyDescent="0.2">
      <c r="A2028" s="57"/>
      <c r="B2028" s="57"/>
      <c r="C2028" s="57"/>
      <c r="D2028" s="57"/>
      <c r="E2028" s="57"/>
      <c r="F2028" s="985"/>
      <c r="G2028" s="57"/>
      <c r="H2028" s="57"/>
      <c r="I2028" s="990"/>
      <c r="J2028" s="57"/>
      <c r="K2028" s="57"/>
      <c r="L2028" s="57"/>
      <c r="M2028" s="57"/>
      <c r="N2028" s="57"/>
      <c r="O2028" s="57"/>
      <c r="P2028" s="57"/>
      <c r="Q2028" s="57"/>
      <c r="R2028" s="57"/>
      <c r="S2028" s="57"/>
      <c r="T2028" s="57"/>
      <c r="U2028" s="57"/>
      <c r="V2028" s="57"/>
      <c r="W2028" s="57"/>
      <c r="X2028" s="57"/>
      <c r="Y2028" s="57"/>
      <c r="Z2028" s="57"/>
      <c r="AA2028" s="57"/>
      <c r="AB2028" s="57"/>
      <c r="AC2028" s="57"/>
      <c r="AD2028" s="57"/>
      <c r="AE2028" s="57"/>
      <c r="AF2028" s="57"/>
    </row>
    <row r="2029" spans="1:32" x14ac:dyDescent="0.2">
      <c r="A2029" s="57"/>
      <c r="B2029" s="57"/>
      <c r="C2029" s="57"/>
      <c r="D2029" s="57"/>
      <c r="E2029" s="57"/>
      <c r="F2029" s="985"/>
      <c r="G2029" s="57"/>
      <c r="H2029" s="57"/>
      <c r="I2029" s="990"/>
      <c r="J2029" s="57"/>
      <c r="K2029" s="57"/>
      <c r="L2029" s="57"/>
      <c r="M2029" s="57"/>
      <c r="N2029" s="57"/>
      <c r="O2029" s="57"/>
      <c r="P2029" s="57"/>
      <c r="Q2029" s="57"/>
      <c r="R2029" s="57"/>
      <c r="S2029" s="57"/>
      <c r="T2029" s="57"/>
      <c r="U2029" s="57"/>
      <c r="V2029" s="57"/>
      <c r="W2029" s="57"/>
      <c r="X2029" s="57"/>
      <c r="Y2029" s="57"/>
      <c r="Z2029" s="57"/>
      <c r="AA2029" s="57"/>
      <c r="AB2029" s="57"/>
      <c r="AC2029" s="57"/>
      <c r="AD2029" s="57"/>
      <c r="AE2029" s="57"/>
      <c r="AF2029" s="57"/>
    </row>
    <row r="2030" spans="1:32" x14ac:dyDescent="0.2">
      <c r="A2030" s="57"/>
      <c r="B2030" s="57"/>
      <c r="C2030" s="57"/>
      <c r="D2030" s="57"/>
      <c r="E2030" s="57"/>
      <c r="F2030" s="985"/>
      <c r="G2030" s="57"/>
      <c r="H2030" s="57"/>
      <c r="I2030" s="990"/>
      <c r="J2030" s="57"/>
      <c r="K2030" s="57"/>
      <c r="L2030" s="57"/>
      <c r="M2030" s="57"/>
      <c r="N2030" s="57"/>
      <c r="O2030" s="57"/>
      <c r="P2030" s="57"/>
      <c r="Q2030" s="57"/>
      <c r="R2030" s="57"/>
      <c r="S2030" s="57"/>
      <c r="T2030" s="57"/>
      <c r="U2030" s="57"/>
      <c r="V2030" s="57"/>
      <c r="W2030" s="57"/>
      <c r="X2030" s="57"/>
      <c r="Y2030" s="57"/>
      <c r="Z2030" s="57"/>
      <c r="AA2030" s="57"/>
      <c r="AB2030" s="57"/>
      <c r="AC2030" s="57"/>
      <c r="AD2030" s="57"/>
      <c r="AE2030" s="57"/>
      <c r="AF2030" s="57"/>
    </row>
    <row r="2031" spans="1:32" x14ac:dyDescent="0.2">
      <c r="A2031" s="57"/>
      <c r="B2031" s="57"/>
      <c r="C2031" s="57"/>
      <c r="D2031" s="57"/>
      <c r="E2031" s="57"/>
      <c r="F2031" s="985"/>
      <c r="G2031" s="57"/>
      <c r="H2031" s="57"/>
      <c r="I2031" s="990"/>
      <c r="J2031" s="57"/>
      <c r="K2031" s="57"/>
      <c r="L2031" s="57"/>
      <c r="M2031" s="57"/>
      <c r="N2031" s="57"/>
      <c r="O2031" s="57"/>
      <c r="P2031" s="57"/>
      <c r="Q2031" s="57"/>
      <c r="R2031" s="57"/>
      <c r="S2031" s="57"/>
      <c r="T2031" s="57"/>
      <c r="U2031" s="57"/>
      <c r="V2031" s="57"/>
      <c r="W2031" s="57"/>
      <c r="X2031" s="57"/>
      <c r="Y2031" s="57"/>
      <c r="Z2031" s="57"/>
      <c r="AA2031" s="57"/>
      <c r="AB2031" s="57"/>
      <c r="AC2031" s="57"/>
      <c r="AD2031" s="57"/>
      <c r="AE2031" s="57"/>
      <c r="AF2031" s="57"/>
    </row>
    <row r="2032" spans="1:32" x14ac:dyDescent="0.2">
      <c r="A2032" s="57"/>
      <c r="B2032" s="57"/>
      <c r="C2032" s="57"/>
      <c r="D2032" s="57"/>
      <c r="E2032" s="57"/>
      <c r="F2032" s="985"/>
      <c r="G2032" s="57"/>
      <c r="H2032" s="57"/>
      <c r="I2032" s="990"/>
      <c r="J2032" s="57"/>
      <c r="K2032" s="57"/>
      <c r="L2032" s="57"/>
      <c r="M2032" s="57"/>
      <c r="N2032" s="57"/>
      <c r="O2032" s="57"/>
      <c r="P2032" s="57"/>
      <c r="Q2032" s="57"/>
      <c r="R2032" s="57"/>
      <c r="S2032" s="57"/>
      <c r="T2032" s="57"/>
      <c r="U2032" s="57"/>
      <c r="V2032" s="57"/>
      <c r="W2032" s="57"/>
      <c r="X2032" s="57"/>
      <c r="Y2032" s="57"/>
      <c r="Z2032" s="57"/>
      <c r="AA2032" s="57"/>
      <c r="AB2032" s="57"/>
      <c r="AC2032" s="57"/>
      <c r="AD2032" s="57"/>
      <c r="AE2032" s="57"/>
      <c r="AF2032" s="57"/>
    </row>
    <row r="2033" spans="1:32" x14ac:dyDescent="0.2">
      <c r="A2033" s="57"/>
      <c r="B2033" s="57"/>
      <c r="C2033" s="57"/>
      <c r="D2033" s="57"/>
      <c r="E2033" s="57"/>
      <c r="F2033" s="985"/>
      <c r="G2033" s="57"/>
      <c r="H2033" s="57"/>
      <c r="I2033" s="990"/>
      <c r="J2033" s="57"/>
      <c r="K2033" s="57"/>
      <c r="L2033" s="57"/>
      <c r="M2033" s="57"/>
      <c r="N2033" s="57"/>
      <c r="O2033" s="57"/>
      <c r="P2033" s="57"/>
      <c r="Q2033" s="57"/>
      <c r="R2033" s="57"/>
      <c r="S2033" s="57"/>
      <c r="T2033" s="57"/>
      <c r="U2033" s="57"/>
      <c r="V2033" s="57"/>
      <c r="W2033" s="57"/>
      <c r="X2033" s="57"/>
      <c r="Y2033" s="57"/>
      <c r="Z2033" s="57"/>
      <c r="AA2033" s="57"/>
      <c r="AB2033" s="57"/>
      <c r="AC2033" s="57"/>
      <c r="AD2033" s="57"/>
      <c r="AE2033" s="57"/>
      <c r="AF2033" s="57"/>
    </row>
    <row r="2034" spans="1:32" x14ac:dyDescent="0.2">
      <c r="A2034" s="57"/>
      <c r="B2034" s="57"/>
      <c r="C2034" s="57"/>
      <c r="D2034" s="57"/>
      <c r="E2034" s="57"/>
      <c r="F2034" s="985"/>
      <c r="G2034" s="57"/>
      <c r="H2034" s="57"/>
      <c r="I2034" s="990"/>
      <c r="J2034" s="57"/>
      <c r="K2034" s="57"/>
      <c r="L2034" s="57"/>
      <c r="M2034" s="57"/>
      <c r="N2034" s="57"/>
      <c r="O2034" s="57"/>
      <c r="P2034" s="57"/>
      <c r="Q2034" s="57"/>
      <c r="R2034" s="57"/>
      <c r="S2034" s="57"/>
      <c r="T2034" s="57"/>
      <c r="U2034" s="57"/>
      <c r="V2034" s="57"/>
      <c r="W2034" s="57"/>
      <c r="X2034" s="57"/>
      <c r="Y2034" s="57"/>
      <c r="Z2034" s="57"/>
      <c r="AA2034" s="57"/>
      <c r="AB2034" s="57"/>
      <c r="AC2034" s="57"/>
      <c r="AD2034" s="57"/>
      <c r="AE2034" s="57"/>
      <c r="AF2034" s="57"/>
    </row>
    <row r="2035" spans="1:32" x14ac:dyDescent="0.2">
      <c r="A2035" s="57"/>
      <c r="B2035" s="57"/>
      <c r="C2035" s="57"/>
      <c r="D2035" s="57"/>
      <c r="E2035" s="57"/>
      <c r="F2035" s="985"/>
      <c r="G2035" s="57"/>
      <c r="H2035" s="57"/>
      <c r="I2035" s="990"/>
      <c r="J2035" s="57"/>
      <c r="K2035" s="57"/>
      <c r="L2035" s="57"/>
      <c r="M2035" s="57"/>
      <c r="N2035" s="57"/>
      <c r="O2035" s="57"/>
      <c r="P2035" s="57"/>
      <c r="Q2035" s="57"/>
      <c r="R2035" s="57"/>
      <c r="S2035" s="57"/>
      <c r="T2035" s="57"/>
      <c r="U2035" s="57"/>
      <c r="V2035" s="57"/>
      <c r="W2035" s="57"/>
      <c r="X2035" s="57"/>
      <c r="Y2035" s="57"/>
      <c r="Z2035" s="57"/>
      <c r="AA2035" s="57"/>
      <c r="AB2035" s="57"/>
      <c r="AC2035" s="57"/>
      <c r="AD2035" s="57"/>
      <c r="AE2035" s="57"/>
      <c r="AF2035" s="57"/>
    </row>
    <row r="2036" spans="1:32" x14ac:dyDescent="0.2">
      <c r="A2036" s="57"/>
      <c r="B2036" s="57"/>
      <c r="C2036" s="57"/>
      <c r="D2036" s="57"/>
      <c r="E2036" s="57"/>
      <c r="F2036" s="985"/>
      <c r="G2036" s="57"/>
      <c r="H2036" s="57"/>
      <c r="I2036" s="990"/>
      <c r="J2036" s="57"/>
      <c r="K2036" s="57"/>
      <c r="L2036" s="57"/>
      <c r="M2036" s="57"/>
      <c r="N2036" s="57"/>
      <c r="O2036" s="57"/>
      <c r="P2036" s="57"/>
      <c r="Q2036" s="57"/>
      <c r="R2036" s="57"/>
      <c r="S2036" s="57"/>
      <c r="T2036" s="57"/>
      <c r="U2036" s="57"/>
      <c r="V2036" s="57"/>
      <c r="W2036" s="57"/>
      <c r="X2036" s="57"/>
      <c r="Y2036" s="57"/>
      <c r="Z2036" s="57"/>
      <c r="AA2036" s="57"/>
      <c r="AB2036" s="57"/>
      <c r="AC2036" s="57"/>
      <c r="AD2036" s="57"/>
      <c r="AE2036" s="57"/>
      <c r="AF2036" s="57"/>
    </row>
    <row r="2037" spans="1:32" x14ac:dyDescent="0.2">
      <c r="A2037" s="57"/>
      <c r="B2037" s="57"/>
      <c r="C2037" s="57"/>
      <c r="D2037" s="57"/>
      <c r="E2037" s="57"/>
      <c r="F2037" s="985"/>
      <c r="G2037" s="57"/>
      <c r="H2037" s="57"/>
      <c r="I2037" s="990"/>
      <c r="J2037" s="57"/>
      <c r="K2037" s="57"/>
      <c r="L2037" s="57"/>
      <c r="M2037" s="57"/>
      <c r="N2037" s="57"/>
      <c r="O2037" s="57"/>
      <c r="P2037" s="57"/>
      <c r="Q2037" s="57"/>
      <c r="R2037" s="57"/>
      <c r="S2037" s="57"/>
      <c r="T2037" s="57"/>
      <c r="U2037" s="57"/>
      <c r="V2037" s="57"/>
      <c r="W2037" s="57"/>
      <c r="X2037" s="57"/>
      <c r="Y2037" s="57"/>
      <c r="Z2037" s="57"/>
      <c r="AA2037" s="57"/>
      <c r="AB2037" s="57"/>
      <c r="AC2037" s="57"/>
      <c r="AD2037" s="57"/>
      <c r="AE2037" s="57"/>
      <c r="AF2037" s="57"/>
    </row>
    <row r="2038" spans="1:32" x14ac:dyDescent="0.2">
      <c r="A2038" s="57"/>
      <c r="B2038" s="57"/>
      <c r="C2038" s="57"/>
      <c r="D2038" s="57"/>
      <c r="E2038" s="57"/>
      <c r="F2038" s="985"/>
      <c r="G2038" s="57"/>
      <c r="H2038" s="57"/>
      <c r="I2038" s="990"/>
      <c r="J2038" s="57"/>
      <c r="K2038" s="57"/>
      <c r="L2038" s="57"/>
      <c r="M2038" s="57"/>
      <c r="N2038" s="57"/>
      <c r="O2038" s="57"/>
      <c r="P2038" s="57"/>
      <c r="Q2038" s="57"/>
      <c r="R2038" s="57"/>
      <c r="S2038" s="57"/>
      <c r="T2038" s="57"/>
      <c r="U2038" s="57"/>
      <c r="V2038" s="57"/>
      <c r="W2038" s="57"/>
      <c r="X2038" s="57"/>
      <c r="Y2038" s="57"/>
      <c r="Z2038" s="57"/>
      <c r="AA2038" s="57"/>
      <c r="AB2038" s="57"/>
      <c r="AC2038" s="57"/>
      <c r="AD2038" s="57"/>
      <c r="AE2038" s="57"/>
      <c r="AF2038" s="57"/>
    </row>
    <row r="2039" spans="1:32" x14ac:dyDescent="0.2">
      <c r="A2039" s="57"/>
      <c r="B2039" s="57"/>
      <c r="C2039" s="57"/>
      <c r="D2039" s="57"/>
      <c r="E2039" s="57"/>
      <c r="F2039" s="985"/>
      <c r="G2039" s="57"/>
      <c r="H2039" s="57"/>
      <c r="I2039" s="990"/>
      <c r="J2039" s="57"/>
      <c r="K2039" s="57"/>
      <c r="L2039" s="57"/>
      <c r="M2039" s="57"/>
      <c r="N2039" s="57"/>
      <c r="O2039" s="57"/>
      <c r="P2039" s="57"/>
      <c r="Q2039" s="57"/>
      <c r="R2039" s="57"/>
      <c r="S2039" s="57"/>
      <c r="T2039" s="57"/>
      <c r="U2039" s="57"/>
      <c r="V2039" s="57"/>
      <c r="W2039" s="57"/>
      <c r="X2039" s="57"/>
      <c r="Y2039" s="57"/>
      <c r="Z2039" s="57"/>
      <c r="AA2039" s="57"/>
      <c r="AB2039" s="57"/>
      <c r="AC2039" s="57"/>
      <c r="AD2039" s="57"/>
      <c r="AE2039" s="57"/>
      <c r="AF2039" s="57"/>
    </row>
    <row r="2040" spans="1:32" x14ac:dyDescent="0.2">
      <c r="A2040" s="57"/>
      <c r="B2040" s="57"/>
      <c r="C2040" s="57"/>
      <c r="D2040" s="57"/>
      <c r="E2040" s="57"/>
      <c r="F2040" s="985"/>
      <c r="G2040" s="57"/>
      <c r="H2040" s="57"/>
      <c r="I2040" s="990"/>
      <c r="J2040" s="57"/>
      <c r="K2040" s="57"/>
      <c r="L2040" s="57"/>
      <c r="M2040" s="57"/>
      <c r="N2040" s="57"/>
      <c r="O2040" s="57"/>
      <c r="P2040" s="57"/>
      <c r="Q2040" s="57"/>
      <c r="R2040" s="57"/>
      <c r="S2040" s="57"/>
      <c r="T2040" s="57"/>
      <c r="U2040" s="57"/>
      <c r="V2040" s="57"/>
      <c r="W2040" s="57"/>
      <c r="X2040" s="57"/>
      <c r="Y2040" s="57"/>
      <c r="Z2040" s="57"/>
      <c r="AA2040" s="57"/>
      <c r="AB2040" s="57"/>
      <c r="AC2040" s="57"/>
      <c r="AD2040" s="57"/>
      <c r="AE2040" s="57"/>
      <c r="AF2040" s="57"/>
    </row>
    <row r="2041" spans="1:32" x14ac:dyDescent="0.2">
      <c r="A2041" s="57"/>
      <c r="B2041" s="57"/>
      <c r="C2041" s="57"/>
      <c r="D2041" s="57"/>
      <c r="E2041" s="57"/>
      <c r="F2041" s="985"/>
      <c r="G2041" s="57"/>
      <c r="H2041" s="57"/>
      <c r="I2041" s="990"/>
      <c r="J2041" s="57"/>
      <c r="K2041" s="57"/>
      <c r="L2041" s="57"/>
      <c r="M2041" s="57"/>
      <c r="N2041" s="57"/>
      <c r="O2041" s="57"/>
      <c r="P2041" s="57"/>
      <c r="Q2041" s="57"/>
      <c r="R2041" s="57"/>
      <c r="S2041" s="57"/>
      <c r="T2041" s="57"/>
      <c r="U2041" s="57"/>
      <c r="V2041" s="57"/>
      <c r="W2041" s="57"/>
      <c r="X2041" s="57"/>
      <c r="Y2041" s="57"/>
      <c r="Z2041" s="57"/>
      <c r="AA2041" s="57"/>
      <c r="AB2041" s="57"/>
      <c r="AC2041" s="57"/>
      <c r="AD2041" s="57"/>
      <c r="AE2041" s="57"/>
      <c r="AF2041" s="57"/>
    </row>
    <row r="2042" spans="1:32" x14ac:dyDescent="0.2">
      <c r="A2042" s="57"/>
      <c r="B2042" s="57"/>
      <c r="C2042" s="57"/>
      <c r="D2042" s="57"/>
      <c r="E2042" s="57"/>
      <c r="F2042" s="985"/>
      <c r="G2042" s="57"/>
      <c r="H2042" s="57"/>
      <c r="I2042" s="990"/>
      <c r="J2042" s="57"/>
      <c r="K2042" s="57"/>
      <c r="L2042" s="57"/>
      <c r="M2042" s="57"/>
      <c r="N2042" s="57"/>
      <c r="O2042" s="57"/>
      <c r="P2042" s="57"/>
      <c r="Q2042" s="57"/>
      <c r="R2042" s="57"/>
      <c r="S2042" s="57"/>
      <c r="T2042" s="57"/>
      <c r="U2042" s="57"/>
      <c r="V2042" s="57"/>
      <c r="W2042" s="57"/>
      <c r="X2042" s="57"/>
      <c r="Y2042" s="57"/>
      <c r="Z2042" s="57"/>
      <c r="AA2042" s="57"/>
      <c r="AB2042" s="57"/>
      <c r="AC2042" s="57"/>
      <c r="AD2042" s="57"/>
      <c r="AE2042" s="57"/>
      <c r="AF2042" s="57"/>
    </row>
    <row r="2043" spans="1:32" x14ac:dyDescent="0.2">
      <c r="A2043" s="57"/>
      <c r="B2043" s="57"/>
      <c r="C2043" s="57"/>
      <c r="D2043" s="57"/>
      <c r="E2043" s="57"/>
      <c r="F2043" s="985"/>
      <c r="G2043" s="57"/>
      <c r="H2043" s="57"/>
      <c r="I2043" s="990"/>
      <c r="J2043" s="57"/>
      <c r="K2043" s="57"/>
      <c r="L2043" s="57"/>
      <c r="M2043" s="57"/>
      <c r="N2043" s="57"/>
      <c r="O2043" s="57"/>
      <c r="P2043" s="57"/>
      <c r="Q2043" s="57"/>
      <c r="R2043" s="57"/>
      <c r="S2043" s="57"/>
      <c r="T2043" s="57"/>
      <c r="U2043" s="57"/>
      <c r="V2043" s="57"/>
      <c r="W2043" s="57"/>
      <c r="X2043" s="57"/>
      <c r="Y2043" s="57"/>
      <c r="Z2043" s="57"/>
      <c r="AA2043" s="57"/>
      <c r="AB2043" s="57"/>
      <c r="AC2043" s="57"/>
      <c r="AD2043" s="57"/>
      <c r="AE2043" s="57"/>
      <c r="AF2043" s="57"/>
    </row>
    <row r="2044" spans="1:32" x14ac:dyDescent="0.2">
      <c r="A2044" s="57"/>
      <c r="B2044" s="57"/>
      <c r="C2044" s="57"/>
      <c r="D2044" s="57"/>
      <c r="E2044" s="57"/>
      <c r="F2044" s="985"/>
      <c r="G2044" s="57"/>
      <c r="H2044" s="57"/>
      <c r="I2044" s="990"/>
      <c r="J2044" s="57"/>
      <c r="K2044" s="57"/>
      <c r="L2044" s="57"/>
      <c r="M2044" s="57"/>
      <c r="N2044" s="57"/>
      <c r="O2044" s="57"/>
      <c r="P2044" s="57"/>
      <c r="Q2044" s="57"/>
      <c r="R2044" s="57"/>
      <c r="S2044" s="57"/>
      <c r="T2044" s="57"/>
      <c r="U2044" s="57"/>
      <c r="V2044" s="57"/>
      <c r="W2044" s="57"/>
      <c r="X2044" s="57"/>
      <c r="Y2044" s="57"/>
      <c r="Z2044" s="57"/>
      <c r="AA2044" s="57"/>
      <c r="AB2044" s="57"/>
      <c r="AC2044" s="57"/>
      <c r="AD2044" s="57"/>
      <c r="AE2044" s="57"/>
      <c r="AF2044" s="57"/>
    </row>
    <row r="2045" spans="1:32" x14ac:dyDescent="0.2">
      <c r="A2045" s="57"/>
      <c r="B2045" s="57"/>
      <c r="C2045" s="57"/>
      <c r="D2045" s="57"/>
      <c r="E2045" s="57"/>
      <c r="F2045" s="985"/>
      <c r="G2045" s="57"/>
      <c r="H2045" s="57"/>
      <c r="I2045" s="990"/>
      <c r="J2045" s="57"/>
      <c r="K2045" s="57"/>
      <c r="L2045" s="57"/>
      <c r="M2045" s="57"/>
      <c r="N2045" s="57"/>
      <c r="O2045" s="57"/>
      <c r="P2045" s="57"/>
      <c r="Q2045" s="57"/>
      <c r="R2045" s="57"/>
      <c r="S2045" s="57"/>
      <c r="T2045" s="57"/>
      <c r="U2045" s="57"/>
      <c r="V2045" s="57"/>
      <c r="W2045" s="57"/>
      <c r="X2045" s="57"/>
      <c r="Y2045" s="57"/>
      <c r="Z2045" s="57"/>
      <c r="AA2045" s="57"/>
      <c r="AB2045" s="57"/>
      <c r="AC2045" s="57"/>
      <c r="AD2045" s="57"/>
      <c r="AE2045" s="57"/>
      <c r="AF2045" s="57"/>
    </row>
    <row r="2046" spans="1:32" x14ac:dyDescent="0.2">
      <c r="A2046" s="57"/>
      <c r="B2046" s="57"/>
      <c r="C2046" s="57"/>
      <c r="D2046" s="57"/>
      <c r="E2046" s="57"/>
      <c r="F2046" s="985"/>
      <c r="G2046" s="57"/>
      <c r="H2046" s="57"/>
      <c r="I2046" s="990"/>
      <c r="J2046" s="57"/>
      <c r="K2046" s="57"/>
      <c r="L2046" s="57"/>
      <c r="M2046" s="57"/>
      <c r="N2046" s="57"/>
      <c r="O2046" s="57"/>
      <c r="P2046" s="57"/>
      <c r="Q2046" s="57"/>
      <c r="R2046" s="57"/>
      <c r="S2046" s="57"/>
      <c r="T2046" s="57"/>
      <c r="U2046" s="57"/>
      <c r="V2046" s="57"/>
      <c r="W2046" s="57"/>
      <c r="X2046" s="57"/>
      <c r="Y2046" s="57"/>
      <c r="Z2046" s="57"/>
      <c r="AA2046" s="57"/>
      <c r="AB2046" s="57"/>
      <c r="AC2046" s="57"/>
      <c r="AD2046" s="57"/>
      <c r="AE2046" s="57"/>
      <c r="AF2046" s="57"/>
    </row>
    <row r="2047" spans="1:32" x14ac:dyDescent="0.2">
      <c r="A2047" s="57"/>
      <c r="B2047" s="57"/>
      <c r="C2047" s="57"/>
      <c r="D2047" s="57"/>
      <c r="E2047" s="57"/>
      <c r="F2047" s="985"/>
      <c r="G2047" s="57"/>
      <c r="H2047" s="57"/>
      <c r="I2047" s="990"/>
      <c r="J2047" s="57"/>
      <c r="K2047" s="57"/>
      <c r="L2047" s="57"/>
      <c r="M2047" s="57"/>
      <c r="N2047" s="57"/>
      <c r="O2047" s="57"/>
      <c r="P2047" s="57"/>
      <c r="Q2047" s="57"/>
      <c r="R2047" s="57"/>
      <c r="S2047" s="57"/>
      <c r="T2047" s="57"/>
      <c r="U2047" s="57"/>
      <c r="V2047" s="57"/>
      <c r="W2047" s="57"/>
      <c r="X2047" s="57"/>
      <c r="Y2047" s="57"/>
      <c r="Z2047" s="57"/>
      <c r="AA2047" s="57"/>
      <c r="AB2047" s="57"/>
      <c r="AC2047" s="57"/>
      <c r="AD2047" s="57"/>
      <c r="AE2047" s="57"/>
      <c r="AF2047" s="57"/>
    </row>
    <row r="2048" spans="1:32" x14ac:dyDescent="0.2">
      <c r="A2048" s="57"/>
      <c r="B2048" s="57"/>
      <c r="C2048" s="57"/>
      <c r="D2048" s="57"/>
      <c r="E2048" s="57"/>
      <c r="F2048" s="985"/>
      <c r="G2048" s="57"/>
      <c r="H2048" s="57"/>
      <c r="I2048" s="990"/>
      <c r="J2048" s="57"/>
      <c r="K2048" s="57"/>
      <c r="L2048" s="57"/>
      <c r="M2048" s="57"/>
      <c r="N2048" s="57"/>
      <c r="O2048" s="57"/>
      <c r="P2048" s="57"/>
      <c r="Q2048" s="57"/>
      <c r="R2048" s="57"/>
      <c r="S2048" s="57"/>
      <c r="T2048" s="57"/>
      <c r="U2048" s="57"/>
      <c r="V2048" s="57"/>
      <c r="W2048" s="57"/>
      <c r="X2048" s="57"/>
      <c r="Y2048" s="57"/>
      <c r="Z2048" s="57"/>
      <c r="AA2048" s="57"/>
      <c r="AB2048" s="57"/>
      <c r="AC2048" s="57"/>
      <c r="AD2048" s="57"/>
      <c r="AE2048" s="57"/>
      <c r="AF2048" s="57"/>
    </row>
    <row r="2049" spans="1:32" x14ac:dyDescent="0.2">
      <c r="A2049" s="57"/>
      <c r="B2049" s="57"/>
      <c r="C2049" s="57"/>
      <c r="D2049" s="57"/>
      <c r="E2049" s="57"/>
      <c r="F2049" s="985"/>
      <c r="G2049" s="57"/>
      <c r="H2049" s="57"/>
      <c r="I2049" s="990"/>
      <c r="J2049" s="57"/>
      <c r="K2049" s="57"/>
      <c r="L2049" s="57"/>
      <c r="M2049" s="57"/>
      <c r="N2049" s="57"/>
      <c r="O2049" s="57"/>
      <c r="P2049" s="57"/>
      <c r="Q2049" s="57"/>
      <c r="R2049" s="57"/>
      <c r="S2049" s="57"/>
      <c r="T2049" s="57"/>
      <c r="U2049" s="57"/>
      <c r="V2049" s="57"/>
      <c r="W2049" s="57"/>
      <c r="X2049" s="57"/>
      <c r="Y2049" s="57"/>
      <c r="Z2049" s="57"/>
      <c r="AA2049" s="57"/>
      <c r="AB2049" s="57"/>
      <c r="AC2049" s="57"/>
      <c r="AD2049" s="57"/>
      <c r="AE2049" s="57"/>
      <c r="AF2049" s="57"/>
    </row>
    <row r="2050" spans="1:32" x14ac:dyDescent="0.2">
      <c r="A2050" s="57"/>
      <c r="B2050" s="57"/>
      <c r="C2050" s="57"/>
      <c r="D2050" s="57"/>
      <c r="E2050" s="57"/>
      <c r="F2050" s="985"/>
      <c r="G2050" s="57"/>
      <c r="H2050" s="57"/>
      <c r="I2050" s="990"/>
      <c r="J2050" s="57"/>
      <c r="K2050" s="57"/>
      <c r="L2050" s="57"/>
      <c r="M2050" s="57"/>
      <c r="N2050" s="57"/>
      <c r="O2050" s="57"/>
      <c r="P2050" s="57"/>
      <c r="Q2050" s="57"/>
      <c r="R2050" s="57"/>
      <c r="S2050" s="57"/>
      <c r="T2050" s="57"/>
      <c r="U2050" s="57"/>
      <c r="V2050" s="57"/>
      <c r="W2050" s="57"/>
      <c r="X2050" s="57"/>
      <c r="Y2050" s="57"/>
      <c r="Z2050" s="57"/>
      <c r="AA2050" s="57"/>
      <c r="AB2050" s="57"/>
      <c r="AC2050" s="57"/>
      <c r="AD2050" s="57"/>
      <c r="AE2050" s="57"/>
      <c r="AF2050" s="57"/>
    </row>
    <row r="2051" spans="1:32" x14ac:dyDescent="0.2">
      <c r="A2051" s="57"/>
      <c r="B2051" s="57"/>
      <c r="C2051" s="57"/>
      <c r="D2051" s="57"/>
      <c r="E2051" s="57"/>
      <c r="F2051" s="985"/>
      <c r="G2051" s="57"/>
      <c r="H2051" s="57"/>
      <c r="I2051" s="990"/>
      <c r="J2051" s="57"/>
      <c r="K2051" s="57"/>
      <c r="L2051" s="57"/>
      <c r="M2051" s="57"/>
      <c r="N2051" s="57"/>
      <c r="O2051" s="57"/>
      <c r="P2051" s="57"/>
      <c r="Q2051" s="57"/>
      <c r="R2051" s="57"/>
      <c r="S2051" s="57"/>
      <c r="T2051" s="57"/>
      <c r="U2051" s="57"/>
      <c r="V2051" s="57"/>
      <c r="W2051" s="57"/>
      <c r="X2051" s="57"/>
      <c r="Y2051" s="57"/>
      <c r="Z2051" s="57"/>
      <c r="AA2051" s="57"/>
      <c r="AB2051" s="57"/>
      <c r="AC2051" s="57"/>
      <c r="AD2051" s="57"/>
      <c r="AE2051" s="57"/>
      <c r="AF2051" s="57"/>
    </row>
    <row r="2052" spans="1:32" x14ac:dyDescent="0.2">
      <c r="A2052" s="57"/>
      <c r="B2052" s="57"/>
      <c r="C2052" s="57"/>
      <c r="D2052" s="57"/>
      <c r="E2052" s="57"/>
      <c r="F2052" s="985"/>
      <c r="G2052" s="57"/>
      <c r="H2052" s="57"/>
      <c r="I2052" s="990"/>
      <c r="J2052" s="57"/>
      <c r="K2052" s="57"/>
      <c r="L2052" s="57"/>
      <c r="M2052" s="57"/>
      <c r="N2052" s="57"/>
      <c r="O2052" s="57"/>
      <c r="P2052" s="57"/>
      <c r="Q2052" s="57"/>
      <c r="R2052" s="57"/>
      <c r="S2052" s="57"/>
      <c r="T2052" s="57"/>
      <c r="U2052" s="57"/>
      <c r="V2052" s="57"/>
      <c r="W2052" s="57"/>
      <c r="X2052" s="57"/>
      <c r="Y2052" s="57"/>
      <c r="Z2052" s="57"/>
      <c r="AA2052" s="57"/>
      <c r="AB2052" s="57"/>
      <c r="AC2052" s="57"/>
      <c r="AD2052" s="57"/>
      <c r="AE2052" s="57"/>
      <c r="AF2052" s="57"/>
    </row>
    <row r="2053" spans="1:32" x14ac:dyDescent="0.2">
      <c r="A2053" s="57"/>
      <c r="B2053" s="57"/>
      <c r="C2053" s="57"/>
      <c r="D2053" s="57"/>
      <c r="E2053" s="57"/>
      <c r="F2053" s="985"/>
      <c r="G2053" s="57"/>
      <c r="H2053" s="57"/>
      <c r="I2053" s="990"/>
      <c r="J2053" s="57"/>
      <c r="K2053" s="57"/>
      <c r="L2053" s="57"/>
      <c r="M2053" s="57"/>
      <c r="N2053" s="57"/>
      <c r="O2053" s="57"/>
      <c r="P2053" s="57"/>
      <c r="Q2053" s="57"/>
      <c r="R2053" s="57"/>
      <c r="S2053" s="57"/>
      <c r="T2053" s="57"/>
      <c r="U2053" s="57"/>
      <c r="V2053" s="57"/>
      <c r="W2053" s="57"/>
      <c r="X2053" s="57"/>
      <c r="Y2053" s="57"/>
      <c r="Z2053" s="57"/>
      <c r="AA2053" s="57"/>
      <c r="AB2053" s="57"/>
      <c r="AC2053" s="57"/>
      <c r="AD2053" s="57"/>
      <c r="AE2053" s="57"/>
      <c r="AF2053" s="57"/>
    </row>
    <row r="2054" spans="1:32" x14ac:dyDescent="0.2">
      <c r="A2054" s="57"/>
      <c r="B2054" s="57"/>
      <c r="C2054" s="57"/>
      <c r="D2054" s="57"/>
      <c r="E2054" s="57"/>
      <c r="F2054" s="985"/>
      <c r="G2054" s="57"/>
      <c r="H2054" s="57"/>
      <c r="I2054" s="990"/>
      <c r="J2054" s="57"/>
      <c r="K2054" s="57"/>
      <c r="L2054" s="57"/>
      <c r="M2054" s="57"/>
      <c r="N2054" s="57"/>
      <c r="O2054" s="57"/>
      <c r="P2054" s="57"/>
      <c r="Q2054" s="57"/>
      <c r="R2054" s="57"/>
      <c r="S2054" s="57"/>
      <c r="T2054" s="57"/>
      <c r="U2054" s="57"/>
      <c r="V2054" s="57"/>
      <c r="W2054" s="57"/>
      <c r="X2054" s="57"/>
      <c r="Y2054" s="57"/>
      <c r="Z2054" s="57"/>
      <c r="AA2054" s="57"/>
      <c r="AB2054" s="57"/>
      <c r="AC2054" s="57"/>
      <c r="AD2054" s="57"/>
      <c r="AE2054" s="57"/>
      <c r="AF2054" s="57"/>
    </row>
    <row r="2055" spans="1:32" x14ac:dyDescent="0.2">
      <c r="A2055" s="57"/>
      <c r="B2055" s="57"/>
      <c r="C2055" s="57"/>
      <c r="D2055" s="57"/>
      <c r="E2055" s="57"/>
      <c r="F2055" s="985"/>
      <c r="G2055" s="57"/>
      <c r="H2055" s="57"/>
      <c r="I2055" s="990"/>
      <c r="J2055" s="57"/>
      <c r="K2055" s="57"/>
      <c r="L2055" s="57"/>
      <c r="M2055" s="57"/>
      <c r="N2055" s="57"/>
      <c r="O2055" s="57"/>
      <c r="P2055" s="57"/>
      <c r="Q2055" s="57"/>
      <c r="R2055" s="57"/>
      <c r="S2055" s="57"/>
      <c r="T2055" s="57"/>
      <c r="U2055" s="57"/>
      <c r="V2055" s="57"/>
      <c r="W2055" s="57"/>
      <c r="X2055" s="57"/>
      <c r="Y2055" s="57"/>
      <c r="Z2055" s="57"/>
      <c r="AA2055" s="57"/>
      <c r="AB2055" s="57"/>
      <c r="AC2055" s="57"/>
      <c r="AD2055" s="57"/>
      <c r="AE2055" s="57"/>
      <c r="AF2055" s="57"/>
    </row>
    <row r="2056" spans="1:32" x14ac:dyDescent="0.2">
      <c r="A2056" s="57"/>
      <c r="B2056" s="57"/>
      <c r="C2056" s="57"/>
      <c r="D2056" s="57"/>
      <c r="E2056" s="57"/>
      <c r="F2056" s="985"/>
      <c r="G2056" s="57"/>
      <c r="H2056" s="57"/>
      <c r="I2056" s="990"/>
      <c r="J2056" s="57"/>
      <c r="K2056" s="57"/>
      <c r="L2056" s="57"/>
      <c r="M2056" s="57"/>
      <c r="N2056" s="57"/>
      <c r="O2056" s="57"/>
      <c r="P2056" s="57"/>
      <c r="Q2056" s="57"/>
      <c r="R2056" s="57"/>
      <c r="S2056" s="57"/>
      <c r="T2056" s="57"/>
      <c r="U2056" s="57"/>
      <c r="V2056" s="57"/>
      <c r="W2056" s="57"/>
      <c r="X2056" s="57"/>
      <c r="Y2056" s="57"/>
      <c r="Z2056" s="57"/>
      <c r="AA2056" s="57"/>
      <c r="AB2056" s="57"/>
      <c r="AC2056" s="57"/>
      <c r="AD2056" s="57"/>
      <c r="AE2056" s="57"/>
      <c r="AF2056" s="57"/>
    </row>
    <row r="2057" spans="1:32" x14ac:dyDescent="0.2">
      <c r="A2057" s="57"/>
      <c r="B2057" s="57"/>
      <c r="C2057" s="57"/>
      <c r="D2057" s="57"/>
      <c r="E2057" s="57"/>
      <c r="F2057" s="985"/>
      <c r="G2057" s="57"/>
      <c r="H2057" s="57"/>
      <c r="I2057" s="990"/>
      <c r="J2057" s="57"/>
      <c r="K2057" s="57"/>
      <c r="L2057" s="57"/>
      <c r="M2057" s="57"/>
      <c r="N2057" s="57"/>
      <c r="O2057" s="57"/>
      <c r="P2057" s="57"/>
      <c r="Q2057" s="57"/>
      <c r="R2057" s="57"/>
      <c r="S2057" s="57"/>
      <c r="T2057" s="57"/>
      <c r="U2057" s="57"/>
      <c r="V2057" s="57"/>
      <c r="W2057" s="57"/>
      <c r="X2057" s="57"/>
      <c r="Y2057" s="57"/>
      <c r="Z2057" s="57"/>
      <c r="AA2057" s="57"/>
      <c r="AB2057" s="57"/>
      <c r="AC2057" s="57"/>
      <c r="AD2057" s="57"/>
      <c r="AE2057" s="57"/>
      <c r="AF2057" s="57"/>
    </row>
    <row r="2058" spans="1:32" x14ac:dyDescent="0.2">
      <c r="A2058" s="57"/>
      <c r="B2058" s="57"/>
      <c r="C2058" s="57"/>
      <c r="D2058" s="57"/>
      <c r="E2058" s="57"/>
      <c r="F2058" s="985"/>
      <c r="G2058" s="57"/>
      <c r="H2058" s="57"/>
      <c r="I2058" s="990"/>
      <c r="J2058" s="57"/>
      <c r="K2058" s="57"/>
      <c r="L2058" s="57"/>
      <c r="M2058" s="57"/>
      <c r="N2058" s="57"/>
      <c r="O2058" s="57"/>
      <c r="P2058" s="57"/>
      <c r="Q2058" s="57"/>
      <c r="R2058" s="57"/>
      <c r="S2058" s="57"/>
      <c r="T2058" s="57"/>
      <c r="U2058" s="57"/>
      <c r="V2058" s="57"/>
      <c r="W2058" s="57"/>
      <c r="X2058" s="57"/>
      <c r="Y2058" s="57"/>
      <c r="Z2058" s="57"/>
      <c r="AA2058" s="57"/>
      <c r="AB2058" s="57"/>
      <c r="AC2058" s="57"/>
      <c r="AD2058" s="57"/>
      <c r="AE2058" s="57"/>
      <c r="AF2058" s="57"/>
    </row>
    <row r="2059" spans="1:32" x14ac:dyDescent="0.2">
      <c r="A2059" s="57"/>
      <c r="B2059" s="57"/>
      <c r="C2059" s="57"/>
      <c r="D2059" s="57"/>
      <c r="E2059" s="57"/>
      <c r="F2059" s="985"/>
      <c r="G2059" s="57"/>
      <c r="H2059" s="57"/>
      <c r="I2059" s="990"/>
      <c r="J2059" s="57"/>
      <c r="K2059" s="57"/>
      <c r="L2059" s="57"/>
      <c r="M2059" s="57"/>
      <c r="N2059" s="57"/>
      <c r="O2059" s="57"/>
      <c r="P2059" s="57"/>
      <c r="Q2059" s="57"/>
      <c r="R2059" s="57"/>
      <c r="S2059" s="57"/>
      <c r="T2059" s="57"/>
      <c r="U2059" s="57"/>
      <c r="V2059" s="57"/>
      <c r="W2059" s="57"/>
      <c r="X2059" s="57"/>
      <c r="Y2059" s="57"/>
      <c r="Z2059" s="57"/>
      <c r="AA2059" s="57"/>
      <c r="AB2059" s="57"/>
      <c r="AC2059" s="57"/>
      <c r="AD2059" s="57"/>
      <c r="AE2059" s="57"/>
      <c r="AF2059" s="57"/>
    </row>
    <row r="2060" spans="1:32" x14ac:dyDescent="0.2">
      <c r="A2060" s="57"/>
      <c r="B2060" s="57"/>
      <c r="C2060" s="57"/>
      <c r="D2060" s="57"/>
      <c r="E2060" s="57"/>
      <c r="F2060" s="985"/>
      <c r="G2060" s="57"/>
      <c r="H2060" s="57"/>
      <c r="I2060" s="990"/>
      <c r="J2060" s="57"/>
      <c r="K2060" s="57"/>
      <c r="L2060" s="57"/>
      <c r="M2060" s="57"/>
      <c r="N2060" s="57"/>
      <c r="O2060" s="57"/>
      <c r="P2060" s="57"/>
      <c r="Q2060" s="57"/>
      <c r="R2060" s="57"/>
      <c r="S2060" s="57"/>
      <c r="T2060" s="57"/>
      <c r="U2060" s="57"/>
      <c r="V2060" s="57"/>
      <c r="W2060" s="57"/>
      <c r="X2060" s="57"/>
      <c r="Y2060" s="57"/>
      <c r="Z2060" s="57"/>
      <c r="AA2060" s="57"/>
      <c r="AB2060" s="57"/>
      <c r="AC2060" s="57"/>
      <c r="AD2060" s="57"/>
      <c r="AE2060" s="57"/>
      <c r="AF2060" s="57"/>
    </row>
    <row r="2061" spans="1:32" x14ac:dyDescent="0.2">
      <c r="A2061" s="57"/>
      <c r="B2061" s="57"/>
      <c r="C2061" s="57"/>
      <c r="D2061" s="57"/>
      <c r="E2061" s="57"/>
      <c r="F2061" s="985"/>
      <c r="G2061" s="57"/>
      <c r="H2061" s="57"/>
      <c r="I2061" s="990"/>
      <c r="J2061" s="57"/>
      <c r="K2061" s="57"/>
      <c r="L2061" s="57"/>
      <c r="M2061" s="57"/>
      <c r="N2061" s="57"/>
      <c r="O2061" s="57"/>
      <c r="P2061" s="57"/>
      <c r="Q2061" s="57"/>
      <c r="R2061" s="57"/>
      <c r="S2061" s="57"/>
      <c r="T2061" s="57"/>
      <c r="U2061" s="57"/>
      <c r="V2061" s="57"/>
      <c r="W2061" s="57"/>
      <c r="X2061" s="57"/>
      <c r="Y2061" s="57"/>
      <c r="Z2061" s="57"/>
      <c r="AA2061" s="57"/>
      <c r="AB2061" s="57"/>
      <c r="AC2061" s="57"/>
      <c r="AD2061" s="57"/>
      <c r="AE2061" s="57"/>
      <c r="AF2061" s="57"/>
    </row>
    <row r="2062" spans="1:32" x14ac:dyDescent="0.2">
      <c r="A2062" s="57"/>
      <c r="B2062" s="57"/>
      <c r="C2062" s="57"/>
      <c r="D2062" s="57"/>
      <c r="E2062" s="57"/>
      <c r="F2062" s="985"/>
      <c r="G2062" s="57"/>
      <c r="H2062" s="57"/>
      <c r="I2062" s="990"/>
      <c r="J2062" s="57"/>
      <c r="K2062" s="57"/>
      <c r="L2062" s="57"/>
      <c r="M2062" s="57"/>
      <c r="N2062" s="57"/>
      <c r="O2062" s="57"/>
      <c r="P2062" s="57"/>
      <c r="Q2062" s="57"/>
      <c r="R2062" s="57"/>
      <c r="S2062" s="57"/>
      <c r="T2062" s="57"/>
      <c r="U2062" s="57"/>
      <c r="V2062" s="57"/>
      <c r="W2062" s="57"/>
      <c r="X2062" s="57"/>
      <c r="Y2062" s="57"/>
      <c r="Z2062" s="57"/>
      <c r="AA2062" s="57"/>
      <c r="AB2062" s="57"/>
      <c r="AC2062" s="57"/>
      <c r="AD2062" s="57"/>
      <c r="AE2062" s="57"/>
      <c r="AF2062" s="57"/>
    </row>
    <row r="2063" spans="1:32" x14ac:dyDescent="0.2">
      <c r="A2063" s="57"/>
      <c r="B2063" s="57"/>
      <c r="C2063" s="57"/>
      <c r="D2063" s="57"/>
      <c r="E2063" s="57"/>
      <c r="F2063" s="985"/>
      <c r="G2063" s="57"/>
      <c r="H2063" s="57"/>
      <c r="I2063" s="990"/>
      <c r="J2063" s="57"/>
      <c r="K2063" s="57"/>
      <c r="L2063" s="57"/>
      <c r="M2063" s="57"/>
      <c r="N2063" s="57"/>
      <c r="O2063" s="57"/>
      <c r="P2063" s="57"/>
      <c r="Q2063" s="57"/>
      <c r="R2063" s="57"/>
      <c r="S2063" s="57"/>
      <c r="T2063" s="57"/>
      <c r="U2063" s="57"/>
      <c r="V2063" s="57"/>
      <c r="W2063" s="57"/>
      <c r="X2063" s="57"/>
      <c r="Y2063" s="57"/>
      <c r="Z2063" s="57"/>
      <c r="AA2063" s="57"/>
      <c r="AB2063" s="57"/>
      <c r="AC2063" s="57"/>
      <c r="AD2063" s="57"/>
      <c r="AE2063" s="57"/>
      <c r="AF2063" s="57"/>
    </row>
    <row r="2064" spans="1:32" x14ac:dyDescent="0.2">
      <c r="A2064" s="57"/>
      <c r="B2064" s="57"/>
      <c r="C2064" s="57"/>
      <c r="D2064" s="57"/>
      <c r="E2064" s="57"/>
      <c r="F2064" s="985"/>
      <c r="G2064" s="57"/>
      <c r="H2064" s="57"/>
      <c r="I2064" s="990"/>
      <c r="J2064" s="57"/>
      <c r="K2064" s="57"/>
      <c r="L2064" s="57"/>
      <c r="M2064" s="57"/>
      <c r="N2064" s="57"/>
      <c r="O2064" s="57"/>
      <c r="P2064" s="57"/>
      <c r="Q2064" s="57"/>
      <c r="R2064" s="57"/>
      <c r="S2064" s="57"/>
      <c r="T2064" s="57"/>
      <c r="U2064" s="57"/>
      <c r="V2064" s="57"/>
      <c r="W2064" s="57"/>
      <c r="X2064" s="57"/>
      <c r="Y2064" s="57"/>
      <c r="Z2064" s="57"/>
      <c r="AA2064" s="57"/>
      <c r="AB2064" s="57"/>
      <c r="AC2064" s="57"/>
      <c r="AD2064" s="57"/>
      <c r="AE2064" s="57"/>
      <c r="AF2064" s="57"/>
    </row>
    <row r="2065" spans="1:32" x14ac:dyDescent="0.2">
      <c r="A2065" s="57"/>
      <c r="B2065" s="57"/>
      <c r="C2065" s="57"/>
      <c r="D2065" s="57"/>
      <c r="E2065" s="57"/>
      <c r="F2065" s="985"/>
      <c r="G2065" s="57"/>
      <c r="H2065" s="57"/>
      <c r="I2065" s="990"/>
      <c r="J2065" s="57"/>
      <c r="K2065" s="57"/>
      <c r="L2065" s="57"/>
      <c r="M2065" s="57"/>
      <c r="N2065" s="57"/>
      <c r="O2065" s="57"/>
      <c r="P2065" s="57"/>
      <c r="Q2065" s="57"/>
      <c r="R2065" s="57"/>
      <c r="S2065" s="57"/>
      <c r="T2065" s="57"/>
      <c r="U2065" s="57"/>
      <c r="V2065" s="57"/>
      <c r="W2065" s="57"/>
      <c r="X2065" s="57"/>
      <c r="Y2065" s="57"/>
      <c r="Z2065" s="57"/>
      <c r="AA2065" s="57"/>
      <c r="AB2065" s="57"/>
      <c r="AC2065" s="57"/>
      <c r="AD2065" s="57"/>
      <c r="AE2065" s="57"/>
      <c r="AF2065" s="57"/>
    </row>
    <row r="2066" spans="1:32" x14ac:dyDescent="0.2">
      <c r="A2066" s="57"/>
      <c r="B2066" s="57"/>
      <c r="C2066" s="57"/>
      <c r="D2066" s="57"/>
      <c r="E2066" s="57"/>
      <c r="F2066" s="985"/>
      <c r="G2066" s="57"/>
      <c r="H2066" s="57"/>
      <c r="I2066" s="990"/>
      <c r="J2066" s="57"/>
      <c r="K2066" s="57"/>
      <c r="L2066" s="57"/>
      <c r="M2066" s="57"/>
      <c r="N2066" s="57"/>
      <c r="O2066" s="57"/>
      <c r="P2066" s="57"/>
      <c r="Q2066" s="57"/>
      <c r="R2066" s="57"/>
      <c r="S2066" s="57"/>
      <c r="T2066" s="57"/>
      <c r="U2066" s="57"/>
      <c r="V2066" s="57"/>
      <c r="W2066" s="57"/>
      <c r="X2066" s="57"/>
      <c r="Y2066" s="57"/>
      <c r="Z2066" s="57"/>
      <c r="AA2066" s="57"/>
      <c r="AB2066" s="57"/>
      <c r="AC2066" s="57"/>
      <c r="AD2066" s="57"/>
      <c r="AE2066" s="57"/>
      <c r="AF2066" s="57"/>
    </row>
    <row r="2067" spans="1:32" x14ac:dyDescent="0.2">
      <c r="A2067" s="57"/>
      <c r="B2067" s="57"/>
      <c r="C2067" s="57"/>
      <c r="D2067" s="57"/>
      <c r="E2067" s="57"/>
      <c r="F2067" s="985"/>
      <c r="G2067" s="57"/>
      <c r="H2067" s="57"/>
      <c r="I2067" s="990"/>
      <c r="J2067" s="57"/>
      <c r="K2067" s="57"/>
      <c r="L2067" s="57"/>
      <c r="M2067" s="57"/>
      <c r="N2067" s="57"/>
      <c r="O2067" s="57"/>
      <c r="P2067" s="57"/>
      <c r="Q2067" s="57"/>
      <c r="R2067" s="57"/>
      <c r="S2067" s="57"/>
      <c r="T2067" s="57"/>
      <c r="U2067" s="57"/>
      <c r="V2067" s="57"/>
      <c r="W2067" s="57"/>
      <c r="X2067" s="57"/>
      <c r="Y2067" s="57"/>
      <c r="Z2067" s="57"/>
      <c r="AA2067" s="57"/>
      <c r="AB2067" s="57"/>
      <c r="AC2067" s="57"/>
      <c r="AD2067" s="57"/>
      <c r="AE2067" s="57"/>
      <c r="AF2067" s="57"/>
    </row>
    <row r="2068" spans="1:32" x14ac:dyDescent="0.2">
      <c r="A2068" s="57"/>
      <c r="B2068" s="57"/>
      <c r="C2068" s="57"/>
      <c r="D2068" s="57"/>
      <c r="E2068" s="57"/>
      <c r="F2068" s="985"/>
      <c r="G2068" s="57"/>
      <c r="H2068" s="57"/>
      <c r="I2068" s="990"/>
      <c r="J2068" s="57"/>
      <c r="K2068" s="57"/>
      <c r="L2068" s="57"/>
      <c r="M2068" s="57"/>
      <c r="N2068" s="57"/>
      <c r="O2068" s="57"/>
      <c r="P2068" s="57"/>
      <c r="Q2068" s="57"/>
      <c r="R2068" s="57"/>
      <c r="S2068" s="57"/>
      <c r="T2068" s="57"/>
      <c r="U2068" s="57"/>
      <c r="V2068" s="57"/>
      <c r="W2068" s="57"/>
      <c r="X2068" s="57"/>
      <c r="Y2068" s="57"/>
      <c r="Z2068" s="57"/>
      <c r="AA2068" s="57"/>
      <c r="AB2068" s="57"/>
      <c r="AC2068" s="57"/>
      <c r="AD2068" s="57"/>
      <c r="AE2068" s="57"/>
      <c r="AF2068" s="57"/>
    </row>
    <row r="2069" spans="1:32" x14ac:dyDescent="0.2">
      <c r="A2069" s="57"/>
      <c r="B2069" s="57"/>
      <c r="C2069" s="57"/>
      <c r="D2069" s="57"/>
      <c r="E2069" s="57"/>
      <c r="F2069" s="985"/>
      <c r="G2069" s="57"/>
      <c r="H2069" s="57"/>
      <c r="I2069" s="990"/>
      <c r="J2069" s="57"/>
      <c r="K2069" s="57"/>
      <c r="L2069" s="57"/>
      <c r="M2069" s="57"/>
      <c r="N2069" s="57"/>
      <c r="O2069" s="57"/>
      <c r="P2069" s="57"/>
      <c r="Q2069" s="57"/>
      <c r="R2069" s="57"/>
      <c r="S2069" s="57"/>
      <c r="T2069" s="57"/>
      <c r="U2069" s="57"/>
      <c r="V2069" s="57"/>
      <c r="W2069" s="57"/>
      <c r="X2069" s="57"/>
      <c r="Y2069" s="57"/>
      <c r="Z2069" s="57"/>
      <c r="AA2069" s="57"/>
      <c r="AB2069" s="57"/>
      <c r="AC2069" s="57"/>
      <c r="AD2069" s="57"/>
      <c r="AE2069" s="57"/>
      <c r="AF2069" s="57"/>
    </row>
    <row r="2070" spans="1:32" x14ac:dyDescent="0.2">
      <c r="A2070" s="57"/>
      <c r="B2070" s="57"/>
      <c r="C2070" s="57"/>
      <c r="D2070" s="57"/>
      <c r="E2070" s="57"/>
      <c r="F2070" s="985"/>
      <c r="G2070" s="57"/>
      <c r="H2070" s="57"/>
      <c r="I2070" s="990"/>
      <c r="J2070" s="57"/>
      <c r="K2070" s="57"/>
      <c r="L2070" s="57"/>
      <c r="M2070" s="57"/>
      <c r="N2070" s="57"/>
      <c r="O2070" s="57"/>
      <c r="P2070" s="57"/>
      <c r="Q2070" s="57"/>
      <c r="R2070" s="57"/>
      <c r="S2070" s="57"/>
      <c r="T2070" s="57"/>
      <c r="U2070" s="57"/>
      <c r="V2070" s="57"/>
      <c r="W2070" s="57"/>
      <c r="X2070" s="57"/>
      <c r="Y2070" s="57"/>
      <c r="Z2070" s="57"/>
      <c r="AA2070" s="57"/>
      <c r="AB2070" s="57"/>
      <c r="AC2070" s="57"/>
      <c r="AD2070" s="57"/>
      <c r="AE2070" s="57"/>
      <c r="AF2070" s="57"/>
    </row>
    <row r="2071" spans="1:32" x14ac:dyDescent="0.2">
      <c r="A2071" s="57"/>
      <c r="B2071" s="57"/>
      <c r="C2071" s="57"/>
      <c r="D2071" s="57"/>
      <c r="E2071" s="57"/>
      <c r="F2071" s="985"/>
      <c r="G2071" s="57"/>
      <c r="H2071" s="57"/>
      <c r="I2071" s="990"/>
      <c r="J2071" s="57"/>
      <c r="K2071" s="57"/>
      <c r="L2071" s="57"/>
      <c r="M2071" s="57"/>
      <c r="N2071" s="57"/>
      <c r="O2071" s="57"/>
      <c r="P2071" s="57"/>
      <c r="Q2071" s="57"/>
      <c r="R2071" s="57"/>
      <c r="S2071" s="57"/>
      <c r="T2071" s="57"/>
      <c r="U2071" s="57"/>
      <c r="V2071" s="57"/>
      <c r="W2071" s="57"/>
      <c r="X2071" s="57"/>
      <c r="Y2071" s="57"/>
      <c r="Z2071" s="57"/>
      <c r="AA2071" s="57"/>
      <c r="AB2071" s="57"/>
      <c r="AC2071" s="57"/>
      <c r="AD2071" s="57"/>
      <c r="AE2071" s="57"/>
      <c r="AF2071" s="57"/>
    </row>
    <row r="2072" spans="1:32" x14ac:dyDescent="0.2">
      <c r="A2072" s="57"/>
      <c r="B2072" s="57"/>
      <c r="C2072" s="57"/>
      <c r="D2072" s="57"/>
      <c r="E2072" s="57"/>
      <c r="F2072" s="985"/>
      <c r="G2072" s="57"/>
      <c r="H2072" s="57"/>
      <c r="I2072" s="990"/>
      <c r="J2072" s="57"/>
      <c r="K2072" s="57"/>
      <c r="L2072" s="57"/>
      <c r="M2072" s="57"/>
      <c r="N2072" s="57"/>
      <c r="O2072" s="57"/>
      <c r="P2072" s="57"/>
      <c r="Q2072" s="57"/>
      <c r="R2072" s="57"/>
      <c r="S2072" s="57"/>
      <c r="T2072" s="57"/>
      <c r="U2072" s="57"/>
      <c r="V2072" s="57"/>
      <c r="W2072" s="57"/>
      <c r="X2072" s="57"/>
      <c r="Y2072" s="57"/>
      <c r="Z2072" s="57"/>
      <c r="AA2072" s="57"/>
      <c r="AB2072" s="57"/>
      <c r="AC2072" s="57"/>
      <c r="AD2072" s="57"/>
      <c r="AE2072" s="57"/>
      <c r="AF2072" s="57"/>
    </row>
    <row r="2073" spans="1:32" x14ac:dyDescent="0.2">
      <c r="A2073" s="57"/>
      <c r="B2073" s="57"/>
      <c r="C2073" s="57"/>
      <c r="D2073" s="57"/>
      <c r="E2073" s="57"/>
      <c r="F2073" s="985"/>
      <c r="G2073" s="57"/>
      <c r="H2073" s="57"/>
      <c r="I2073" s="990"/>
      <c r="J2073" s="57"/>
      <c r="K2073" s="57"/>
      <c r="L2073" s="57"/>
      <c r="M2073" s="57"/>
      <c r="N2073" s="57"/>
      <c r="O2073" s="57"/>
      <c r="P2073" s="57"/>
      <c r="Q2073" s="57"/>
      <c r="R2073" s="57"/>
      <c r="S2073" s="57"/>
      <c r="T2073" s="57"/>
      <c r="U2073" s="57"/>
      <c r="V2073" s="57"/>
      <c r="W2073" s="57"/>
      <c r="X2073" s="57"/>
      <c r="Y2073" s="57"/>
      <c r="Z2073" s="57"/>
      <c r="AA2073" s="57"/>
      <c r="AB2073" s="57"/>
      <c r="AC2073" s="57"/>
      <c r="AD2073" s="57"/>
      <c r="AE2073" s="57"/>
      <c r="AF2073" s="57"/>
    </row>
    <row r="2074" spans="1:32" x14ac:dyDescent="0.2">
      <c r="A2074" s="57"/>
      <c r="B2074" s="57"/>
      <c r="C2074" s="57"/>
      <c r="D2074" s="57"/>
      <c r="E2074" s="57"/>
      <c r="F2074" s="985"/>
      <c r="G2074" s="57"/>
      <c r="H2074" s="57"/>
      <c r="I2074" s="990"/>
      <c r="J2074" s="57"/>
      <c r="K2074" s="57"/>
      <c r="L2074" s="57"/>
      <c r="M2074" s="57"/>
      <c r="N2074" s="57"/>
      <c r="O2074" s="57"/>
      <c r="P2074" s="57"/>
      <c r="Q2074" s="57"/>
      <c r="R2074" s="57"/>
      <c r="S2074" s="57"/>
      <c r="T2074" s="57"/>
      <c r="U2074" s="57"/>
      <c r="V2074" s="57"/>
      <c r="W2074" s="57"/>
      <c r="X2074" s="57"/>
      <c r="Y2074" s="57"/>
      <c r="Z2074" s="57"/>
      <c r="AA2074" s="57"/>
      <c r="AB2074" s="57"/>
      <c r="AC2074" s="57"/>
      <c r="AD2074" s="57"/>
      <c r="AE2074" s="57"/>
      <c r="AF2074" s="57"/>
    </row>
    <row r="2075" spans="1:32" x14ac:dyDescent="0.2">
      <c r="A2075" s="57"/>
      <c r="B2075" s="57"/>
      <c r="C2075" s="57"/>
      <c r="D2075" s="57"/>
      <c r="E2075" s="57"/>
      <c r="F2075" s="985"/>
      <c r="G2075" s="57"/>
      <c r="H2075" s="57"/>
      <c r="I2075" s="990"/>
      <c r="J2075" s="57"/>
      <c r="K2075" s="57"/>
      <c r="L2075" s="57"/>
      <c r="M2075" s="57"/>
      <c r="N2075" s="57"/>
      <c r="O2075" s="57"/>
      <c r="P2075" s="57"/>
      <c r="Q2075" s="57"/>
      <c r="R2075" s="57"/>
      <c r="S2075" s="57"/>
      <c r="T2075" s="57"/>
      <c r="U2075" s="57"/>
      <c r="V2075" s="57"/>
      <c r="W2075" s="57"/>
      <c r="X2075" s="57"/>
      <c r="Y2075" s="57"/>
      <c r="Z2075" s="57"/>
      <c r="AA2075" s="57"/>
      <c r="AB2075" s="57"/>
      <c r="AC2075" s="57"/>
      <c r="AD2075" s="57"/>
      <c r="AE2075" s="57"/>
      <c r="AF2075" s="57"/>
    </row>
    <row r="2076" spans="1:32" x14ac:dyDescent="0.2">
      <c r="A2076" s="57"/>
      <c r="B2076" s="57"/>
      <c r="C2076" s="57"/>
      <c r="D2076" s="57"/>
      <c r="E2076" s="57"/>
      <c r="F2076" s="985"/>
      <c r="G2076" s="57"/>
      <c r="H2076" s="57"/>
      <c r="I2076" s="990"/>
      <c r="J2076" s="57"/>
      <c r="K2076" s="57"/>
      <c r="L2076" s="57"/>
      <c r="M2076" s="57"/>
      <c r="N2076" s="57"/>
      <c r="O2076" s="57"/>
      <c r="P2076" s="57"/>
      <c r="Q2076" s="57"/>
      <c r="R2076" s="57"/>
      <c r="S2076" s="57"/>
      <c r="T2076" s="57"/>
      <c r="U2076" s="57"/>
      <c r="V2076" s="57"/>
      <c r="W2076" s="57"/>
      <c r="X2076" s="57"/>
      <c r="Y2076" s="57"/>
      <c r="Z2076" s="57"/>
      <c r="AA2076" s="57"/>
      <c r="AB2076" s="57"/>
      <c r="AC2076" s="57"/>
      <c r="AD2076" s="57"/>
      <c r="AE2076" s="57"/>
      <c r="AF2076" s="57"/>
    </row>
    <row r="2077" spans="1:32" x14ac:dyDescent="0.2">
      <c r="A2077" s="57"/>
      <c r="B2077" s="57"/>
      <c r="C2077" s="57"/>
      <c r="D2077" s="57"/>
      <c r="E2077" s="57"/>
      <c r="F2077" s="985"/>
      <c r="G2077" s="57"/>
      <c r="H2077" s="57"/>
      <c r="I2077" s="990"/>
      <c r="J2077" s="57"/>
      <c r="K2077" s="57"/>
      <c r="L2077" s="57"/>
      <c r="M2077" s="57"/>
      <c r="N2077" s="57"/>
      <c r="O2077" s="57"/>
      <c r="P2077" s="57"/>
      <c r="Q2077" s="57"/>
      <c r="R2077" s="57"/>
      <c r="S2077" s="57"/>
      <c r="T2077" s="57"/>
      <c r="U2077" s="57"/>
      <c r="V2077" s="57"/>
      <c r="W2077" s="57"/>
      <c r="X2077" s="57"/>
      <c r="Y2077" s="57"/>
      <c r="Z2077" s="57"/>
      <c r="AA2077" s="57"/>
      <c r="AB2077" s="57"/>
      <c r="AC2077" s="57"/>
      <c r="AD2077" s="57"/>
      <c r="AE2077" s="57"/>
      <c r="AF2077" s="57"/>
    </row>
    <row r="2078" spans="1:32" x14ac:dyDescent="0.2">
      <c r="A2078" s="57"/>
      <c r="B2078" s="57"/>
      <c r="C2078" s="57"/>
      <c r="D2078" s="57"/>
      <c r="E2078" s="57"/>
      <c r="F2078" s="985"/>
      <c r="G2078" s="57"/>
      <c r="H2078" s="57"/>
      <c r="I2078" s="990"/>
      <c r="J2078" s="57"/>
      <c r="K2078" s="57"/>
      <c r="L2078" s="57"/>
      <c r="M2078" s="57"/>
      <c r="N2078" s="57"/>
      <c r="O2078" s="57"/>
      <c r="P2078" s="57"/>
      <c r="Q2078" s="57"/>
      <c r="R2078" s="57"/>
      <c r="S2078" s="57"/>
      <c r="T2078" s="57"/>
      <c r="U2078" s="57"/>
      <c r="V2078" s="57"/>
      <c r="W2078" s="57"/>
      <c r="X2078" s="57"/>
      <c r="Y2078" s="57"/>
      <c r="Z2078" s="57"/>
      <c r="AA2078" s="57"/>
      <c r="AB2078" s="57"/>
      <c r="AC2078" s="57"/>
      <c r="AD2078" s="57"/>
      <c r="AE2078" s="57"/>
      <c r="AF2078" s="57"/>
    </row>
    <row r="2079" spans="1:32" x14ac:dyDescent="0.2">
      <c r="A2079" s="57"/>
      <c r="B2079" s="57"/>
      <c r="C2079" s="57"/>
      <c r="D2079" s="57"/>
      <c r="E2079" s="57"/>
      <c r="F2079" s="985"/>
      <c r="G2079" s="57"/>
      <c r="H2079" s="57"/>
      <c r="I2079" s="990"/>
      <c r="J2079" s="57"/>
      <c r="K2079" s="57"/>
      <c r="L2079" s="57"/>
      <c r="M2079" s="57"/>
      <c r="N2079" s="57"/>
      <c r="O2079" s="57"/>
      <c r="P2079" s="57"/>
      <c r="Q2079" s="57"/>
      <c r="R2079" s="57"/>
      <c r="S2079" s="57"/>
      <c r="T2079" s="57"/>
      <c r="U2079" s="57"/>
      <c r="V2079" s="57"/>
      <c r="W2079" s="57"/>
      <c r="X2079" s="57"/>
      <c r="Y2079" s="57"/>
      <c r="Z2079" s="57"/>
      <c r="AA2079" s="57"/>
      <c r="AB2079" s="57"/>
      <c r="AC2079" s="57"/>
      <c r="AD2079" s="57"/>
      <c r="AE2079" s="57"/>
      <c r="AF2079" s="57"/>
    </row>
    <row r="2080" spans="1:32" x14ac:dyDescent="0.2">
      <c r="A2080" s="57"/>
      <c r="B2080" s="57"/>
      <c r="C2080" s="57"/>
      <c r="D2080" s="57"/>
      <c r="E2080" s="57"/>
      <c r="F2080" s="985"/>
      <c r="G2080" s="57"/>
      <c r="H2080" s="57"/>
      <c r="I2080" s="990"/>
      <c r="J2080" s="57"/>
      <c r="K2080" s="57"/>
      <c r="L2080" s="57"/>
      <c r="M2080" s="57"/>
      <c r="N2080" s="57"/>
      <c r="O2080" s="57"/>
      <c r="P2080" s="57"/>
      <c r="Q2080" s="57"/>
      <c r="R2080" s="57"/>
      <c r="S2080" s="57"/>
      <c r="T2080" s="57"/>
      <c r="U2080" s="57"/>
      <c r="V2080" s="57"/>
      <c r="W2080" s="57"/>
      <c r="X2080" s="57"/>
      <c r="Y2080" s="57"/>
      <c r="Z2080" s="57"/>
      <c r="AA2080" s="57"/>
      <c r="AB2080" s="57"/>
      <c r="AC2080" s="57"/>
      <c r="AD2080" s="57"/>
      <c r="AE2080" s="57"/>
      <c r="AF2080" s="57"/>
    </row>
    <row r="2081" spans="1:32" x14ac:dyDescent="0.2">
      <c r="A2081" s="57"/>
      <c r="B2081" s="57"/>
      <c r="C2081" s="57"/>
      <c r="D2081" s="57"/>
      <c r="E2081" s="57"/>
      <c r="F2081" s="985"/>
      <c r="G2081" s="57"/>
      <c r="H2081" s="57"/>
      <c r="I2081" s="990"/>
      <c r="J2081" s="57"/>
      <c r="K2081" s="57"/>
      <c r="L2081" s="57"/>
      <c r="M2081" s="57"/>
      <c r="N2081" s="57"/>
      <c r="O2081" s="57"/>
      <c r="P2081" s="57"/>
      <c r="Q2081" s="57"/>
      <c r="R2081" s="57"/>
      <c r="S2081" s="57"/>
      <c r="T2081" s="57"/>
      <c r="U2081" s="57"/>
      <c r="V2081" s="57"/>
      <c r="W2081" s="57"/>
      <c r="X2081" s="57"/>
      <c r="Y2081" s="57"/>
      <c r="Z2081" s="57"/>
      <c r="AA2081" s="57"/>
      <c r="AB2081" s="57"/>
      <c r="AC2081" s="57"/>
      <c r="AD2081" s="57"/>
      <c r="AE2081" s="57"/>
      <c r="AF2081" s="57"/>
    </row>
    <row r="2082" spans="1:32" x14ac:dyDescent="0.2">
      <c r="A2082" s="57"/>
      <c r="B2082" s="57"/>
      <c r="C2082" s="57"/>
      <c r="D2082" s="57"/>
      <c r="E2082" s="57"/>
      <c r="F2082" s="985"/>
      <c r="G2082" s="57"/>
      <c r="H2082" s="57"/>
      <c r="I2082" s="990"/>
      <c r="J2082" s="57"/>
      <c r="K2082" s="57"/>
      <c r="L2082" s="57"/>
      <c r="M2082" s="57"/>
      <c r="N2082" s="57"/>
      <c r="O2082" s="57"/>
      <c r="P2082" s="57"/>
      <c r="Q2082" s="57"/>
      <c r="R2082" s="57"/>
      <c r="S2082" s="57"/>
      <c r="T2082" s="57"/>
      <c r="U2082" s="57"/>
      <c r="V2082" s="57"/>
      <c r="W2082" s="57"/>
      <c r="X2082" s="57"/>
      <c r="Y2082" s="57"/>
      <c r="Z2082" s="57"/>
      <c r="AA2082" s="57"/>
      <c r="AB2082" s="57"/>
      <c r="AC2082" s="57"/>
      <c r="AD2082" s="57"/>
      <c r="AE2082" s="57"/>
      <c r="AF2082" s="57"/>
    </row>
    <row r="2083" spans="1:32" x14ac:dyDescent="0.2">
      <c r="A2083" s="57"/>
      <c r="B2083" s="57"/>
      <c r="C2083" s="57"/>
      <c r="D2083" s="57"/>
      <c r="E2083" s="57"/>
      <c r="F2083" s="985"/>
      <c r="G2083" s="57"/>
      <c r="H2083" s="57"/>
      <c r="I2083" s="990"/>
      <c r="J2083" s="57"/>
      <c r="K2083" s="57"/>
      <c r="L2083" s="57"/>
      <c r="M2083" s="57"/>
      <c r="N2083" s="57"/>
      <c r="O2083" s="57"/>
      <c r="P2083" s="57"/>
      <c r="Q2083" s="57"/>
      <c r="R2083" s="57"/>
      <c r="S2083" s="57"/>
      <c r="T2083" s="57"/>
      <c r="U2083" s="57"/>
      <c r="V2083" s="57"/>
      <c r="W2083" s="57"/>
      <c r="X2083" s="57"/>
      <c r="Y2083" s="57"/>
      <c r="Z2083" s="57"/>
      <c r="AA2083" s="57"/>
      <c r="AB2083" s="57"/>
      <c r="AC2083" s="57"/>
      <c r="AD2083" s="57"/>
      <c r="AE2083" s="57"/>
      <c r="AF2083" s="57"/>
    </row>
    <row r="2084" spans="1:32" x14ac:dyDescent="0.2">
      <c r="A2084" s="57"/>
      <c r="B2084" s="57"/>
      <c r="C2084" s="57"/>
      <c r="D2084" s="57"/>
      <c r="E2084" s="57"/>
      <c r="F2084" s="985"/>
      <c r="G2084" s="57"/>
      <c r="H2084" s="57"/>
      <c r="I2084" s="990"/>
      <c r="J2084" s="57"/>
      <c r="K2084" s="57"/>
      <c r="L2084" s="57"/>
      <c r="M2084" s="57"/>
      <c r="N2084" s="57"/>
      <c r="O2084" s="57"/>
      <c r="P2084" s="57"/>
      <c r="Q2084" s="57"/>
      <c r="R2084" s="57"/>
      <c r="S2084" s="57"/>
      <c r="T2084" s="57"/>
      <c r="U2084" s="57"/>
      <c r="V2084" s="57"/>
      <c r="W2084" s="57"/>
      <c r="X2084" s="57"/>
      <c r="Y2084" s="57"/>
      <c r="Z2084" s="57"/>
      <c r="AA2084" s="57"/>
      <c r="AB2084" s="57"/>
      <c r="AC2084" s="57"/>
      <c r="AD2084" s="57"/>
      <c r="AE2084" s="57"/>
      <c r="AF2084" s="57"/>
    </row>
    <row r="2085" spans="1:32" x14ac:dyDescent="0.2">
      <c r="A2085" s="57"/>
      <c r="B2085" s="57"/>
      <c r="C2085" s="57"/>
      <c r="D2085" s="57"/>
      <c r="E2085" s="57"/>
      <c r="F2085" s="985"/>
      <c r="G2085" s="57"/>
      <c r="H2085" s="57"/>
      <c r="I2085" s="990"/>
      <c r="J2085" s="57"/>
      <c r="K2085" s="57"/>
      <c r="L2085" s="57"/>
      <c r="M2085" s="57"/>
      <c r="N2085" s="57"/>
      <c r="O2085" s="57"/>
      <c r="P2085" s="57"/>
      <c r="Q2085" s="57"/>
      <c r="R2085" s="57"/>
      <c r="S2085" s="57"/>
      <c r="T2085" s="57"/>
      <c r="U2085" s="57"/>
      <c r="V2085" s="57"/>
      <c r="W2085" s="57"/>
      <c r="X2085" s="57"/>
      <c r="Y2085" s="57"/>
      <c r="Z2085" s="57"/>
      <c r="AA2085" s="57"/>
      <c r="AB2085" s="57"/>
      <c r="AC2085" s="57"/>
      <c r="AD2085" s="57"/>
      <c r="AE2085" s="57"/>
      <c r="AF2085" s="57"/>
    </row>
    <row r="2086" spans="1:32" x14ac:dyDescent="0.2">
      <c r="A2086" s="57"/>
      <c r="B2086" s="57"/>
      <c r="C2086" s="57"/>
      <c r="D2086" s="57"/>
      <c r="E2086" s="57"/>
      <c r="F2086" s="985"/>
      <c r="G2086" s="57"/>
      <c r="H2086" s="57"/>
      <c r="I2086" s="990"/>
      <c r="J2086" s="57"/>
      <c r="K2086" s="57"/>
      <c r="L2086" s="57"/>
      <c r="M2086" s="57"/>
      <c r="N2086" s="57"/>
      <c r="O2086" s="57"/>
      <c r="P2086" s="57"/>
      <c r="Q2086" s="57"/>
      <c r="R2086" s="57"/>
      <c r="S2086" s="57"/>
      <c r="T2086" s="57"/>
      <c r="U2086" s="57"/>
      <c r="V2086" s="57"/>
      <c r="W2086" s="57"/>
      <c r="X2086" s="57"/>
      <c r="Y2086" s="57"/>
      <c r="Z2086" s="57"/>
      <c r="AA2086" s="57"/>
      <c r="AB2086" s="57"/>
      <c r="AC2086" s="57"/>
      <c r="AD2086" s="57"/>
      <c r="AE2086" s="57"/>
      <c r="AF2086" s="57"/>
    </row>
    <row r="2087" spans="1:32" x14ac:dyDescent="0.2">
      <c r="A2087" s="57"/>
      <c r="B2087" s="57"/>
      <c r="C2087" s="57"/>
      <c r="D2087" s="57"/>
      <c r="E2087" s="57"/>
      <c r="F2087" s="985"/>
      <c r="G2087" s="57"/>
      <c r="H2087" s="57"/>
      <c r="I2087" s="990"/>
      <c r="J2087" s="57"/>
      <c r="K2087" s="57"/>
      <c r="L2087" s="57"/>
      <c r="M2087" s="57"/>
      <c r="N2087" s="57"/>
      <c r="O2087" s="57"/>
      <c r="P2087" s="57"/>
      <c r="Q2087" s="57"/>
      <c r="R2087" s="57"/>
      <c r="S2087" s="57"/>
      <c r="T2087" s="57"/>
      <c r="U2087" s="57"/>
      <c r="V2087" s="57"/>
      <c r="W2087" s="57"/>
      <c r="X2087" s="57"/>
      <c r="Y2087" s="57"/>
      <c r="Z2087" s="57"/>
      <c r="AA2087" s="57"/>
      <c r="AB2087" s="57"/>
      <c r="AC2087" s="57"/>
      <c r="AD2087" s="57"/>
      <c r="AE2087" s="57"/>
      <c r="AF2087" s="57"/>
    </row>
    <row r="2088" spans="1:32" x14ac:dyDescent="0.2">
      <c r="A2088" s="57"/>
      <c r="B2088" s="57"/>
      <c r="C2088" s="57"/>
      <c r="D2088" s="57"/>
      <c r="E2088" s="57"/>
      <c r="F2088" s="985"/>
      <c r="G2088" s="57"/>
      <c r="H2088" s="57"/>
      <c r="I2088" s="990"/>
      <c r="J2088" s="57"/>
      <c r="K2088" s="57"/>
      <c r="L2088" s="57"/>
      <c r="M2088" s="57"/>
      <c r="N2088" s="57"/>
      <c r="O2088" s="57"/>
      <c r="P2088" s="57"/>
      <c r="Q2088" s="57"/>
      <c r="R2088" s="57"/>
      <c r="S2088" s="57"/>
      <c r="T2088" s="57"/>
      <c r="U2088" s="57"/>
      <c r="V2088" s="57"/>
      <c r="W2088" s="57"/>
      <c r="X2088" s="57"/>
      <c r="Y2088" s="57"/>
      <c r="Z2088" s="57"/>
      <c r="AA2088" s="57"/>
      <c r="AB2088" s="57"/>
      <c r="AC2088" s="57"/>
      <c r="AD2088" s="57"/>
      <c r="AE2088" s="57"/>
      <c r="AF2088" s="57"/>
    </row>
    <row r="2089" spans="1:32" x14ac:dyDescent="0.2">
      <c r="A2089" s="57"/>
      <c r="B2089" s="57"/>
      <c r="C2089" s="57"/>
      <c r="D2089" s="57"/>
      <c r="E2089" s="57"/>
      <c r="F2089" s="985"/>
      <c r="G2089" s="57"/>
      <c r="H2089" s="57"/>
      <c r="I2089" s="990"/>
      <c r="J2089" s="57"/>
      <c r="K2089" s="57"/>
      <c r="L2089" s="57"/>
      <c r="M2089" s="57"/>
      <c r="N2089" s="57"/>
      <c r="O2089" s="57"/>
      <c r="P2089" s="57"/>
      <c r="Q2089" s="57"/>
      <c r="R2089" s="57"/>
      <c r="S2089" s="57"/>
      <c r="T2089" s="57"/>
      <c r="U2089" s="57"/>
      <c r="V2089" s="57"/>
      <c r="W2089" s="57"/>
      <c r="X2089" s="57"/>
      <c r="Y2089" s="57"/>
      <c r="Z2089" s="57"/>
      <c r="AA2089" s="57"/>
      <c r="AB2089" s="57"/>
      <c r="AC2089" s="57"/>
      <c r="AD2089" s="57"/>
      <c r="AE2089" s="57"/>
      <c r="AF2089" s="57"/>
    </row>
    <row r="2090" spans="1:32" x14ac:dyDescent="0.2">
      <c r="A2090" s="57"/>
      <c r="B2090" s="57"/>
      <c r="C2090" s="57"/>
      <c r="D2090" s="57"/>
      <c r="E2090" s="57"/>
      <c r="F2090" s="985"/>
      <c r="G2090" s="57"/>
      <c r="H2090" s="57"/>
      <c r="I2090" s="990"/>
      <c r="J2090" s="57"/>
      <c r="K2090" s="57"/>
      <c r="L2090" s="57"/>
      <c r="M2090" s="57"/>
      <c r="N2090" s="57"/>
      <c r="O2090" s="57"/>
      <c r="P2090" s="57"/>
      <c r="Q2090" s="57"/>
      <c r="R2090" s="57"/>
      <c r="S2090" s="57"/>
      <c r="T2090" s="57"/>
      <c r="U2090" s="57"/>
      <c r="V2090" s="57"/>
      <c r="W2090" s="57"/>
      <c r="X2090" s="57"/>
      <c r="Y2090" s="57"/>
      <c r="Z2090" s="57"/>
      <c r="AA2090" s="57"/>
      <c r="AB2090" s="57"/>
      <c r="AC2090" s="57"/>
      <c r="AD2090" s="57"/>
      <c r="AE2090" s="57"/>
      <c r="AF2090" s="57"/>
    </row>
    <row r="2091" spans="1:32" x14ac:dyDescent="0.2">
      <c r="A2091" s="57"/>
      <c r="B2091" s="57"/>
      <c r="C2091" s="57"/>
      <c r="D2091" s="57"/>
      <c r="E2091" s="57"/>
      <c r="F2091" s="985"/>
      <c r="G2091" s="57"/>
      <c r="H2091" s="57"/>
      <c r="I2091" s="990"/>
      <c r="J2091" s="57"/>
      <c r="K2091" s="57"/>
      <c r="L2091" s="57"/>
      <c r="M2091" s="57"/>
      <c r="N2091" s="57"/>
      <c r="O2091" s="57"/>
      <c r="P2091" s="57"/>
      <c r="Q2091" s="57"/>
      <c r="R2091" s="57"/>
      <c r="S2091" s="57"/>
      <c r="T2091" s="57"/>
      <c r="U2091" s="57"/>
      <c r="V2091" s="57"/>
      <c r="W2091" s="57"/>
      <c r="X2091" s="57"/>
      <c r="Y2091" s="57"/>
      <c r="Z2091" s="57"/>
      <c r="AA2091" s="57"/>
      <c r="AB2091" s="57"/>
      <c r="AC2091" s="57"/>
      <c r="AD2091" s="57"/>
      <c r="AE2091" s="57"/>
      <c r="AF2091" s="57"/>
    </row>
    <row r="2092" spans="1:32" x14ac:dyDescent="0.2">
      <c r="A2092" s="57"/>
      <c r="B2092" s="57"/>
      <c r="C2092" s="57"/>
      <c r="D2092" s="57"/>
      <c r="E2092" s="57"/>
      <c r="F2092" s="985"/>
      <c r="G2092" s="57"/>
      <c r="H2092" s="57"/>
      <c r="I2092" s="990"/>
      <c r="J2092" s="57"/>
      <c r="K2092" s="57"/>
      <c r="L2092" s="57"/>
      <c r="M2092" s="57"/>
      <c r="N2092" s="57"/>
      <c r="O2092" s="57"/>
      <c r="P2092" s="57"/>
      <c r="Q2092" s="57"/>
      <c r="R2092" s="57"/>
      <c r="S2092" s="57"/>
      <c r="T2092" s="57"/>
      <c r="U2092" s="57"/>
      <c r="V2092" s="57"/>
      <c r="W2092" s="57"/>
      <c r="X2092" s="57"/>
      <c r="Y2092" s="57"/>
      <c r="Z2092" s="57"/>
      <c r="AA2092" s="57"/>
      <c r="AB2092" s="57"/>
      <c r="AC2092" s="57"/>
      <c r="AD2092" s="57"/>
      <c r="AE2092" s="57"/>
      <c r="AF2092" s="57"/>
    </row>
    <row r="2093" spans="1:32" x14ac:dyDescent="0.2">
      <c r="A2093" s="57"/>
      <c r="B2093" s="57"/>
      <c r="C2093" s="57"/>
      <c r="D2093" s="57"/>
      <c r="E2093" s="57"/>
      <c r="F2093" s="985"/>
      <c r="G2093" s="57"/>
      <c r="H2093" s="57"/>
      <c r="I2093" s="990"/>
      <c r="J2093" s="57"/>
      <c r="K2093" s="57"/>
      <c r="L2093" s="57"/>
      <c r="M2093" s="57"/>
      <c r="N2093" s="57"/>
      <c r="O2093" s="57"/>
      <c r="P2093" s="57"/>
      <c r="Q2093" s="57"/>
      <c r="R2093" s="57"/>
      <c r="S2093" s="57"/>
      <c r="T2093" s="57"/>
      <c r="U2093" s="57"/>
      <c r="V2093" s="57"/>
      <c r="W2093" s="57"/>
      <c r="X2093" s="57"/>
      <c r="Y2093" s="57"/>
      <c r="Z2093" s="57"/>
      <c r="AA2093" s="57"/>
      <c r="AB2093" s="57"/>
      <c r="AC2093" s="57"/>
      <c r="AD2093" s="57"/>
      <c r="AE2093" s="57"/>
      <c r="AF2093" s="57"/>
    </row>
    <row r="2094" spans="1:32" x14ac:dyDescent="0.2">
      <c r="A2094" s="57"/>
      <c r="B2094" s="57"/>
      <c r="C2094" s="57"/>
      <c r="D2094" s="57"/>
      <c r="E2094" s="57"/>
      <c r="F2094" s="985"/>
      <c r="G2094" s="57"/>
      <c r="H2094" s="57"/>
      <c r="I2094" s="990"/>
      <c r="J2094" s="57"/>
      <c r="K2094" s="57"/>
      <c r="L2094" s="57"/>
      <c r="M2094" s="57"/>
      <c r="N2094" s="57"/>
      <c r="O2094" s="57"/>
      <c r="P2094" s="57"/>
      <c r="Q2094" s="57"/>
      <c r="R2094" s="57"/>
      <c r="S2094" s="57"/>
      <c r="T2094" s="57"/>
      <c r="U2094" s="57"/>
      <c r="V2094" s="57"/>
      <c r="W2094" s="57"/>
      <c r="X2094" s="57"/>
      <c r="Y2094" s="57"/>
      <c r="Z2094" s="57"/>
      <c r="AA2094" s="57"/>
      <c r="AB2094" s="57"/>
      <c r="AC2094" s="57"/>
      <c r="AD2094" s="57"/>
      <c r="AE2094" s="57"/>
      <c r="AF2094" s="57"/>
    </row>
    <row r="2095" spans="1:32" x14ac:dyDescent="0.2">
      <c r="A2095" s="57"/>
      <c r="B2095" s="57"/>
      <c r="C2095" s="57"/>
      <c r="D2095" s="57"/>
      <c r="E2095" s="57"/>
      <c r="F2095" s="985"/>
      <c r="G2095" s="57"/>
      <c r="H2095" s="57"/>
      <c r="I2095" s="990"/>
      <c r="J2095" s="57"/>
      <c r="K2095" s="57"/>
      <c r="L2095" s="57"/>
      <c r="M2095" s="57"/>
      <c r="N2095" s="57"/>
      <c r="O2095" s="57"/>
      <c r="P2095" s="57"/>
      <c r="Q2095" s="57"/>
      <c r="R2095" s="57"/>
      <c r="S2095" s="57"/>
      <c r="T2095" s="57"/>
      <c r="U2095" s="57"/>
      <c r="V2095" s="57"/>
      <c r="W2095" s="57"/>
      <c r="X2095" s="57"/>
      <c r="Y2095" s="57"/>
      <c r="Z2095" s="57"/>
      <c r="AA2095" s="57"/>
      <c r="AB2095" s="57"/>
      <c r="AC2095" s="57"/>
      <c r="AD2095" s="57"/>
      <c r="AE2095" s="57"/>
      <c r="AF2095" s="57"/>
    </row>
    <row r="2096" spans="1:32" x14ac:dyDescent="0.2">
      <c r="A2096" s="57"/>
      <c r="B2096" s="57"/>
      <c r="C2096" s="57"/>
      <c r="D2096" s="57"/>
      <c r="E2096" s="57"/>
      <c r="F2096" s="985"/>
      <c r="G2096" s="57"/>
      <c r="H2096" s="57"/>
      <c r="I2096" s="990"/>
      <c r="J2096" s="57"/>
      <c r="K2096" s="57"/>
      <c r="L2096" s="57"/>
      <c r="M2096" s="57"/>
      <c r="N2096" s="57"/>
      <c r="O2096" s="57"/>
      <c r="P2096" s="57"/>
      <c r="Q2096" s="57"/>
      <c r="R2096" s="57"/>
      <c r="S2096" s="57"/>
      <c r="T2096" s="57"/>
      <c r="U2096" s="57"/>
      <c r="V2096" s="57"/>
      <c r="W2096" s="57"/>
      <c r="X2096" s="57"/>
      <c r="Y2096" s="57"/>
      <c r="Z2096" s="57"/>
      <c r="AA2096" s="57"/>
      <c r="AB2096" s="57"/>
      <c r="AC2096" s="57"/>
      <c r="AD2096" s="57"/>
      <c r="AE2096" s="57"/>
      <c r="AF2096" s="57"/>
    </row>
    <row r="2097" spans="1:32" x14ac:dyDescent="0.2">
      <c r="A2097" s="57"/>
      <c r="B2097" s="57"/>
      <c r="C2097" s="57"/>
      <c r="D2097" s="57"/>
      <c r="E2097" s="57"/>
      <c r="F2097" s="985"/>
      <c r="G2097" s="57"/>
      <c r="H2097" s="57"/>
      <c r="I2097" s="990"/>
      <c r="J2097" s="57"/>
      <c r="K2097" s="57"/>
      <c r="L2097" s="57"/>
      <c r="M2097" s="57"/>
      <c r="N2097" s="57"/>
      <c r="O2097" s="57"/>
      <c r="P2097" s="57"/>
      <c r="Q2097" s="57"/>
      <c r="R2097" s="57"/>
      <c r="S2097" s="57"/>
      <c r="T2097" s="57"/>
      <c r="U2097" s="57"/>
      <c r="V2097" s="57"/>
      <c r="W2097" s="57"/>
      <c r="X2097" s="57"/>
      <c r="Y2097" s="57"/>
      <c r="Z2097" s="57"/>
      <c r="AA2097" s="57"/>
      <c r="AB2097" s="57"/>
      <c r="AC2097" s="57"/>
      <c r="AD2097" s="57"/>
      <c r="AE2097" s="57"/>
      <c r="AF2097" s="57"/>
    </row>
    <row r="2098" spans="1:32" x14ac:dyDescent="0.2">
      <c r="A2098" s="57"/>
      <c r="B2098" s="57"/>
      <c r="C2098" s="57"/>
      <c r="D2098" s="57"/>
      <c r="E2098" s="57"/>
      <c r="F2098" s="985"/>
      <c r="G2098" s="57"/>
      <c r="H2098" s="57"/>
      <c r="I2098" s="990"/>
      <c r="J2098" s="57"/>
      <c r="K2098" s="57"/>
      <c r="L2098" s="57"/>
      <c r="M2098" s="57"/>
      <c r="N2098" s="57"/>
      <c r="O2098" s="57"/>
      <c r="P2098" s="57"/>
      <c r="Q2098" s="57"/>
      <c r="R2098" s="57"/>
      <c r="S2098" s="57"/>
      <c r="T2098" s="57"/>
      <c r="U2098" s="57"/>
      <c r="V2098" s="57"/>
      <c r="W2098" s="57"/>
      <c r="X2098" s="57"/>
      <c r="Y2098" s="57"/>
      <c r="Z2098" s="57"/>
      <c r="AA2098" s="57"/>
      <c r="AB2098" s="57"/>
      <c r="AC2098" s="57"/>
      <c r="AD2098" s="57"/>
      <c r="AE2098" s="57"/>
      <c r="AF2098" s="57"/>
    </row>
    <row r="2099" spans="1:32" x14ac:dyDescent="0.2">
      <c r="A2099" s="57"/>
      <c r="B2099" s="57"/>
      <c r="C2099" s="57"/>
      <c r="D2099" s="57"/>
      <c r="E2099" s="57"/>
      <c r="F2099" s="985"/>
      <c r="G2099" s="57"/>
      <c r="H2099" s="57"/>
      <c r="I2099" s="990"/>
      <c r="J2099" s="57"/>
      <c r="K2099" s="57"/>
      <c r="L2099" s="57"/>
      <c r="M2099" s="57"/>
      <c r="N2099" s="57"/>
      <c r="O2099" s="57"/>
      <c r="P2099" s="57"/>
      <c r="Q2099" s="57"/>
      <c r="R2099" s="57"/>
      <c r="S2099" s="57"/>
      <c r="T2099" s="57"/>
      <c r="U2099" s="57"/>
      <c r="V2099" s="57"/>
      <c r="W2099" s="57"/>
      <c r="X2099" s="57"/>
      <c r="Y2099" s="57"/>
      <c r="Z2099" s="57"/>
      <c r="AA2099" s="57"/>
      <c r="AB2099" s="57"/>
      <c r="AC2099" s="57"/>
      <c r="AD2099" s="57"/>
      <c r="AE2099" s="57"/>
      <c r="AF2099" s="57"/>
    </row>
    <row r="2100" spans="1:32" x14ac:dyDescent="0.2">
      <c r="A2100" s="57"/>
      <c r="B2100" s="57"/>
      <c r="C2100" s="57"/>
      <c r="D2100" s="57"/>
      <c r="E2100" s="57"/>
      <c r="F2100" s="985"/>
      <c r="G2100" s="57"/>
      <c r="H2100" s="57"/>
      <c r="I2100" s="990"/>
      <c r="J2100" s="57"/>
      <c r="K2100" s="57"/>
      <c r="L2100" s="57"/>
      <c r="M2100" s="57"/>
      <c r="N2100" s="57"/>
      <c r="O2100" s="57"/>
      <c r="P2100" s="57"/>
      <c r="Q2100" s="57"/>
      <c r="R2100" s="57"/>
      <c r="S2100" s="57"/>
      <c r="T2100" s="57"/>
      <c r="U2100" s="57"/>
      <c r="V2100" s="57"/>
      <c r="W2100" s="57"/>
      <c r="X2100" s="57"/>
      <c r="Y2100" s="57"/>
      <c r="Z2100" s="57"/>
      <c r="AA2100" s="57"/>
      <c r="AB2100" s="57"/>
      <c r="AC2100" s="57"/>
      <c r="AD2100" s="57"/>
      <c r="AE2100" s="57"/>
      <c r="AF2100" s="57"/>
    </row>
    <row r="2101" spans="1:32" x14ac:dyDescent="0.2">
      <c r="A2101" s="57"/>
      <c r="B2101" s="57"/>
      <c r="C2101" s="57"/>
      <c r="D2101" s="57"/>
      <c r="E2101" s="57"/>
      <c r="F2101" s="985"/>
      <c r="G2101" s="57"/>
      <c r="H2101" s="57"/>
      <c r="I2101" s="990"/>
      <c r="J2101" s="57"/>
      <c r="K2101" s="57"/>
      <c r="L2101" s="57"/>
      <c r="M2101" s="57"/>
      <c r="N2101" s="57"/>
      <c r="O2101" s="57"/>
      <c r="P2101" s="57"/>
      <c r="Q2101" s="57"/>
      <c r="R2101" s="57"/>
      <c r="S2101" s="57"/>
      <c r="T2101" s="57"/>
      <c r="U2101" s="57"/>
      <c r="V2101" s="57"/>
      <c r="W2101" s="57"/>
      <c r="X2101" s="57"/>
      <c r="Y2101" s="57"/>
      <c r="Z2101" s="57"/>
      <c r="AA2101" s="57"/>
      <c r="AB2101" s="57"/>
      <c r="AC2101" s="57"/>
      <c r="AD2101" s="57"/>
      <c r="AE2101" s="57"/>
      <c r="AF2101" s="57"/>
    </row>
    <row r="2102" spans="1:32" x14ac:dyDescent="0.2">
      <c r="A2102" s="57"/>
      <c r="B2102" s="57"/>
      <c r="C2102" s="57"/>
      <c r="D2102" s="57"/>
      <c r="E2102" s="57"/>
      <c r="F2102" s="985"/>
      <c r="G2102" s="57"/>
      <c r="H2102" s="57"/>
      <c r="I2102" s="990"/>
      <c r="J2102" s="57"/>
      <c r="K2102" s="57"/>
      <c r="L2102" s="57"/>
      <c r="M2102" s="57"/>
      <c r="N2102" s="57"/>
      <c r="O2102" s="57"/>
      <c r="P2102" s="57"/>
      <c r="Q2102" s="57"/>
      <c r="R2102" s="57"/>
      <c r="S2102" s="57"/>
      <c r="T2102" s="57"/>
      <c r="U2102" s="57"/>
      <c r="V2102" s="57"/>
      <c r="W2102" s="57"/>
      <c r="X2102" s="57"/>
      <c r="Y2102" s="57"/>
      <c r="Z2102" s="57"/>
      <c r="AA2102" s="57"/>
      <c r="AB2102" s="57"/>
      <c r="AC2102" s="57"/>
      <c r="AD2102" s="57"/>
      <c r="AE2102" s="57"/>
      <c r="AF2102" s="57"/>
    </row>
    <row r="2103" spans="1:32" x14ac:dyDescent="0.2">
      <c r="A2103" s="57"/>
      <c r="B2103" s="57"/>
      <c r="C2103" s="57"/>
      <c r="D2103" s="57"/>
      <c r="E2103" s="57"/>
      <c r="F2103" s="985"/>
      <c r="G2103" s="57"/>
      <c r="H2103" s="57"/>
      <c r="I2103" s="990"/>
      <c r="J2103" s="57"/>
      <c r="K2103" s="57"/>
      <c r="L2103" s="57"/>
      <c r="M2103" s="57"/>
      <c r="N2103" s="57"/>
      <c r="O2103" s="57"/>
      <c r="P2103" s="57"/>
      <c r="Q2103" s="57"/>
      <c r="R2103" s="57"/>
      <c r="S2103" s="57"/>
      <c r="T2103" s="57"/>
      <c r="U2103" s="57"/>
      <c r="V2103" s="57"/>
      <c r="W2103" s="57"/>
      <c r="X2103" s="57"/>
      <c r="Y2103" s="57"/>
      <c r="Z2103" s="57"/>
      <c r="AA2103" s="57"/>
      <c r="AB2103" s="57"/>
      <c r="AC2103" s="57"/>
      <c r="AD2103" s="57"/>
      <c r="AE2103" s="57"/>
      <c r="AF2103" s="57"/>
    </row>
    <row r="2104" spans="1:32" x14ac:dyDescent="0.2">
      <c r="A2104" s="57"/>
      <c r="B2104" s="57"/>
      <c r="C2104" s="57"/>
      <c r="D2104" s="57"/>
      <c r="E2104" s="57"/>
      <c r="F2104" s="985"/>
      <c r="G2104" s="57"/>
      <c r="H2104" s="57"/>
      <c r="I2104" s="990"/>
      <c r="J2104" s="57"/>
      <c r="K2104" s="57"/>
      <c r="L2104" s="57"/>
      <c r="M2104" s="57"/>
      <c r="N2104" s="57"/>
      <c r="O2104" s="57"/>
      <c r="P2104" s="57"/>
      <c r="Q2104" s="57"/>
      <c r="R2104" s="57"/>
      <c r="S2104" s="57"/>
      <c r="T2104" s="57"/>
      <c r="U2104" s="57"/>
      <c r="V2104" s="57"/>
      <c r="W2104" s="57"/>
      <c r="X2104" s="57"/>
      <c r="Y2104" s="57"/>
      <c r="Z2104" s="57"/>
      <c r="AA2104" s="57"/>
      <c r="AB2104" s="57"/>
      <c r="AC2104" s="57"/>
      <c r="AD2104" s="57"/>
      <c r="AE2104" s="57"/>
      <c r="AF2104" s="57"/>
    </row>
    <row r="2105" spans="1:32" x14ac:dyDescent="0.2">
      <c r="A2105" s="57"/>
      <c r="B2105" s="57"/>
      <c r="C2105" s="57"/>
      <c r="D2105" s="57"/>
      <c r="E2105" s="57"/>
      <c r="F2105" s="985"/>
      <c r="G2105" s="57"/>
      <c r="H2105" s="57"/>
      <c r="I2105" s="990"/>
      <c r="J2105" s="57"/>
      <c r="K2105" s="57"/>
      <c r="L2105" s="57"/>
      <c r="M2105" s="57"/>
      <c r="N2105" s="57"/>
      <c r="O2105" s="57"/>
      <c r="P2105" s="57"/>
      <c r="Q2105" s="57"/>
      <c r="R2105" s="57"/>
      <c r="S2105" s="57"/>
      <c r="T2105" s="57"/>
      <c r="U2105" s="57"/>
      <c r="V2105" s="57"/>
      <c r="W2105" s="57"/>
      <c r="X2105" s="57"/>
      <c r="Y2105" s="57"/>
      <c r="Z2105" s="57"/>
      <c r="AA2105" s="57"/>
      <c r="AB2105" s="57"/>
      <c r="AC2105" s="57"/>
      <c r="AD2105" s="57"/>
      <c r="AE2105" s="57"/>
      <c r="AF2105" s="57"/>
    </row>
    <row r="2106" spans="1:32" x14ac:dyDescent="0.2">
      <c r="A2106" s="57"/>
      <c r="B2106" s="57"/>
      <c r="C2106" s="57"/>
      <c r="D2106" s="57"/>
      <c r="E2106" s="57"/>
      <c r="F2106" s="985"/>
      <c r="G2106" s="57"/>
      <c r="H2106" s="57"/>
      <c r="I2106" s="990"/>
      <c r="J2106" s="57"/>
      <c r="K2106" s="57"/>
      <c r="L2106" s="57"/>
      <c r="M2106" s="57"/>
      <c r="N2106" s="57"/>
      <c r="O2106" s="57"/>
      <c r="P2106" s="57"/>
      <c r="Q2106" s="57"/>
      <c r="R2106" s="57"/>
      <c r="S2106" s="57"/>
      <c r="T2106" s="57"/>
      <c r="U2106" s="57"/>
      <c r="V2106" s="57"/>
      <c r="W2106" s="57"/>
      <c r="X2106" s="57"/>
      <c r="Y2106" s="57"/>
      <c r="Z2106" s="57"/>
      <c r="AA2106" s="57"/>
      <c r="AB2106" s="57"/>
      <c r="AC2106" s="57"/>
      <c r="AD2106" s="57"/>
      <c r="AE2106" s="57"/>
      <c r="AF2106" s="57"/>
    </row>
    <row r="2107" spans="1:32" x14ac:dyDescent="0.2">
      <c r="A2107" s="57"/>
      <c r="B2107" s="57"/>
      <c r="C2107" s="57"/>
      <c r="D2107" s="57"/>
      <c r="E2107" s="57"/>
      <c r="F2107" s="985"/>
      <c r="G2107" s="57"/>
      <c r="H2107" s="57"/>
      <c r="I2107" s="990"/>
      <c r="J2107" s="57"/>
      <c r="K2107" s="57"/>
      <c r="L2107" s="57"/>
      <c r="M2107" s="57"/>
      <c r="N2107" s="57"/>
      <c r="O2107" s="57"/>
      <c r="P2107" s="57"/>
      <c r="Q2107" s="57"/>
      <c r="R2107" s="57"/>
      <c r="S2107" s="57"/>
      <c r="T2107" s="57"/>
      <c r="U2107" s="57"/>
      <c r="V2107" s="57"/>
      <c r="W2107" s="57"/>
      <c r="X2107" s="57"/>
      <c r="Y2107" s="57"/>
      <c r="Z2107" s="57"/>
      <c r="AA2107" s="57"/>
      <c r="AB2107" s="57"/>
      <c r="AC2107" s="57"/>
      <c r="AD2107" s="57"/>
      <c r="AE2107" s="57"/>
      <c r="AF2107" s="57"/>
    </row>
    <row r="2108" spans="1:32" x14ac:dyDescent="0.2">
      <c r="A2108" s="57"/>
      <c r="B2108" s="57"/>
      <c r="C2108" s="57"/>
      <c r="D2108" s="57"/>
      <c r="E2108" s="57"/>
      <c r="F2108" s="985"/>
      <c r="G2108" s="57"/>
      <c r="H2108" s="57"/>
      <c r="I2108" s="990"/>
      <c r="J2108" s="57"/>
      <c r="K2108" s="57"/>
      <c r="L2108" s="57"/>
      <c r="M2108" s="57"/>
      <c r="N2108" s="57"/>
      <c r="O2108" s="57"/>
      <c r="P2108" s="57"/>
      <c r="Q2108" s="57"/>
      <c r="R2108" s="57"/>
      <c r="S2108" s="57"/>
      <c r="T2108" s="57"/>
      <c r="U2108" s="57"/>
      <c r="V2108" s="57"/>
      <c r="W2108" s="57"/>
      <c r="X2108" s="57"/>
      <c r="Y2108" s="57"/>
      <c r="Z2108" s="57"/>
      <c r="AA2108" s="57"/>
      <c r="AB2108" s="57"/>
      <c r="AC2108" s="57"/>
      <c r="AD2108" s="57"/>
      <c r="AE2108" s="57"/>
      <c r="AF2108" s="57"/>
    </row>
    <row r="2109" spans="1:32" x14ac:dyDescent="0.2">
      <c r="A2109" s="57"/>
      <c r="B2109" s="57"/>
      <c r="C2109" s="57"/>
      <c r="D2109" s="57"/>
      <c r="E2109" s="57"/>
      <c r="F2109" s="985"/>
      <c r="G2109" s="57"/>
      <c r="H2109" s="57"/>
      <c r="I2109" s="990"/>
      <c r="J2109" s="57"/>
      <c r="K2109" s="57"/>
      <c r="L2109" s="57"/>
      <c r="M2109" s="57"/>
      <c r="N2109" s="57"/>
      <c r="O2109" s="57"/>
      <c r="P2109" s="57"/>
      <c r="Q2109" s="57"/>
      <c r="R2109" s="57"/>
      <c r="S2109" s="57"/>
      <c r="T2109" s="57"/>
      <c r="U2109" s="57"/>
      <c r="V2109" s="57"/>
      <c r="W2109" s="57"/>
      <c r="X2109" s="57"/>
      <c r="Y2109" s="57"/>
      <c r="Z2109" s="57"/>
      <c r="AA2109" s="57"/>
      <c r="AB2109" s="57"/>
      <c r="AC2109" s="57"/>
      <c r="AD2109" s="57"/>
      <c r="AE2109" s="57"/>
      <c r="AF2109" s="57"/>
    </row>
    <row r="2110" spans="1:32" x14ac:dyDescent="0.2">
      <c r="A2110" s="57"/>
      <c r="B2110" s="57"/>
      <c r="C2110" s="57"/>
      <c r="D2110" s="57"/>
      <c r="E2110" s="57"/>
      <c r="F2110" s="985"/>
      <c r="G2110" s="57"/>
      <c r="H2110" s="57"/>
      <c r="I2110" s="990"/>
      <c r="J2110" s="57"/>
      <c r="K2110" s="57"/>
      <c r="L2110" s="57"/>
      <c r="M2110" s="57"/>
      <c r="N2110" s="57"/>
      <c r="O2110" s="57"/>
      <c r="P2110" s="57"/>
      <c r="Q2110" s="57"/>
      <c r="R2110" s="57"/>
      <c r="S2110" s="57"/>
      <c r="T2110" s="57"/>
      <c r="U2110" s="57"/>
      <c r="V2110" s="57"/>
      <c r="W2110" s="57"/>
      <c r="X2110" s="57"/>
      <c r="Y2110" s="57"/>
      <c r="Z2110" s="57"/>
      <c r="AA2110" s="57"/>
      <c r="AB2110" s="57"/>
      <c r="AC2110" s="57"/>
      <c r="AD2110" s="57"/>
      <c r="AE2110" s="57"/>
      <c r="AF2110" s="57"/>
    </row>
    <row r="2111" spans="1:32" x14ac:dyDescent="0.2">
      <c r="A2111" s="57"/>
      <c r="B2111" s="57"/>
      <c r="C2111" s="57"/>
      <c r="D2111" s="57"/>
      <c r="E2111" s="57"/>
      <c r="F2111" s="985"/>
      <c r="G2111" s="57"/>
      <c r="H2111" s="57"/>
      <c r="I2111" s="990"/>
      <c r="J2111" s="57"/>
      <c r="K2111" s="57"/>
      <c r="L2111" s="57"/>
      <c r="M2111" s="57"/>
      <c r="N2111" s="57"/>
      <c r="O2111" s="57"/>
      <c r="P2111" s="57"/>
      <c r="Q2111" s="57"/>
      <c r="R2111" s="57"/>
      <c r="S2111" s="57"/>
      <c r="T2111" s="57"/>
      <c r="U2111" s="57"/>
      <c r="V2111" s="57"/>
      <c r="W2111" s="57"/>
      <c r="X2111" s="57"/>
      <c r="Y2111" s="57"/>
      <c r="Z2111" s="57"/>
      <c r="AA2111" s="57"/>
      <c r="AB2111" s="57"/>
      <c r="AC2111" s="57"/>
      <c r="AD2111" s="57"/>
      <c r="AE2111" s="57"/>
      <c r="AF2111" s="57"/>
    </row>
    <row r="2112" spans="1:32" x14ac:dyDescent="0.2">
      <c r="A2112" s="57"/>
      <c r="B2112" s="57"/>
      <c r="C2112" s="57"/>
      <c r="D2112" s="57"/>
      <c r="E2112" s="57"/>
      <c r="F2112" s="985"/>
      <c r="G2112" s="57"/>
      <c r="H2112" s="57"/>
      <c r="I2112" s="990"/>
      <c r="J2112" s="57"/>
      <c r="K2112" s="57"/>
      <c r="L2112" s="57"/>
      <c r="M2112" s="57"/>
      <c r="N2112" s="57"/>
      <c r="O2112" s="57"/>
      <c r="P2112" s="57"/>
      <c r="Q2112" s="57"/>
      <c r="R2112" s="57"/>
      <c r="S2112" s="57"/>
      <c r="T2112" s="57"/>
      <c r="U2112" s="57"/>
      <c r="V2112" s="57"/>
      <c r="W2112" s="57"/>
      <c r="X2112" s="57"/>
      <c r="Y2112" s="57"/>
      <c r="Z2112" s="57"/>
      <c r="AA2112" s="57"/>
      <c r="AB2112" s="57"/>
      <c r="AC2112" s="57"/>
      <c r="AD2112" s="57"/>
      <c r="AE2112" s="57"/>
      <c r="AF2112" s="57"/>
    </row>
    <row r="2113" spans="1:32" x14ac:dyDescent="0.2">
      <c r="A2113" s="57"/>
      <c r="B2113" s="57"/>
      <c r="C2113" s="57"/>
      <c r="D2113" s="57"/>
      <c r="E2113" s="57"/>
      <c r="F2113" s="985"/>
      <c r="G2113" s="57"/>
      <c r="H2113" s="57"/>
      <c r="I2113" s="990"/>
      <c r="J2113" s="57"/>
      <c r="K2113" s="57"/>
      <c r="L2113" s="57"/>
      <c r="M2113" s="57"/>
      <c r="N2113" s="57"/>
      <c r="O2113" s="57"/>
      <c r="P2113" s="57"/>
      <c r="Q2113" s="57"/>
      <c r="R2113" s="57"/>
      <c r="S2113" s="57"/>
      <c r="T2113" s="57"/>
      <c r="U2113" s="57"/>
      <c r="V2113" s="57"/>
      <c r="W2113" s="57"/>
      <c r="X2113" s="57"/>
      <c r="Y2113" s="57"/>
      <c r="Z2113" s="57"/>
      <c r="AA2113" s="57"/>
      <c r="AB2113" s="57"/>
      <c r="AC2113" s="57"/>
      <c r="AD2113" s="57"/>
      <c r="AE2113" s="57"/>
      <c r="AF2113" s="57"/>
    </row>
    <row r="2114" spans="1:32" x14ac:dyDescent="0.2">
      <c r="A2114" s="57"/>
      <c r="B2114" s="57"/>
      <c r="C2114" s="57"/>
      <c r="D2114" s="57"/>
      <c r="E2114" s="57"/>
      <c r="F2114" s="985"/>
      <c r="G2114" s="57"/>
      <c r="H2114" s="57"/>
      <c r="I2114" s="990"/>
      <c r="J2114" s="57"/>
      <c r="K2114" s="57"/>
      <c r="L2114" s="57"/>
      <c r="M2114" s="57"/>
      <c r="N2114" s="57"/>
      <c r="O2114" s="57"/>
      <c r="P2114" s="57"/>
      <c r="Q2114" s="57"/>
      <c r="R2114" s="57"/>
      <c r="S2114" s="57"/>
      <c r="T2114" s="57"/>
      <c r="U2114" s="57"/>
      <c r="V2114" s="57"/>
      <c r="W2114" s="57"/>
      <c r="X2114" s="57"/>
      <c r="Y2114" s="57"/>
      <c r="Z2114" s="57"/>
      <c r="AA2114" s="57"/>
      <c r="AB2114" s="57"/>
      <c r="AC2114" s="57"/>
      <c r="AD2114" s="57"/>
      <c r="AE2114" s="57"/>
      <c r="AF2114" s="57"/>
    </row>
    <row r="2115" spans="1:32" x14ac:dyDescent="0.2">
      <c r="A2115" s="57"/>
      <c r="B2115" s="57"/>
      <c r="C2115" s="57"/>
      <c r="D2115" s="57"/>
      <c r="E2115" s="57"/>
      <c r="F2115" s="985"/>
      <c r="G2115" s="57"/>
      <c r="H2115" s="57"/>
      <c r="I2115" s="990"/>
      <c r="J2115" s="57"/>
      <c r="K2115" s="57"/>
      <c r="L2115" s="57"/>
      <c r="M2115" s="57"/>
      <c r="N2115" s="57"/>
      <c r="O2115" s="57"/>
      <c r="P2115" s="57"/>
      <c r="Q2115" s="57"/>
      <c r="R2115" s="57"/>
      <c r="S2115" s="57"/>
      <c r="T2115" s="57"/>
      <c r="U2115" s="57"/>
      <c r="V2115" s="57"/>
      <c r="W2115" s="57"/>
      <c r="X2115" s="57"/>
      <c r="Y2115" s="57"/>
      <c r="Z2115" s="57"/>
      <c r="AA2115" s="57"/>
      <c r="AB2115" s="57"/>
      <c r="AC2115" s="57"/>
      <c r="AD2115" s="57"/>
      <c r="AE2115" s="57"/>
      <c r="AF2115" s="57"/>
    </row>
    <row r="2116" spans="1:32" x14ac:dyDescent="0.2">
      <c r="A2116" s="57"/>
      <c r="B2116" s="57"/>
      <c r="C2116" s="57"/>
      <c r="D2116" s="57"/>
      <c r="E2116" s="57"/>
      <c r="F2116" s="985"/>
      <c r="G2116" s="57"/>
      <c r="H2116" s="57"/>
      <c r="I2116" s="990"/>
      <c r="J2116" s="57"/>
      <c r="K2116" s="57"/>
      <c r="L2116" s="57"/>
      <c r="M2116" s="57"/>
      <c r="N2116" s="57"/>
      <c r="O2116" s="57"/>
      <c r="P2116" s="57"/>
      <c r="Q2116" s="57"/>
      <c r="R2116" s="57"/>
      <c r="S2116" s="57"/>
      <c r="T2116" s="57"/>
      <c r="U2116" s="57"/>
      <c r="V2116" s="57"/>
      <c r="W2116" s="57"/>
      <c r="X2116" s="57"/>
      <c r="Y2116" s="57"/>
      <c r="Z2116" s="57"/>
      <c r="AA2116" s="57"/>
      <c r="AB2116" s="57"/>
      <c r="AC2116" s="57"/>
      <c r="AD2116" s="57"/>
      <c r="AE2116" s="57"/>
      <c r="AF2116" s="57"/>
    </row>
    <row r="2117" spans="1:32" x14ac:dyDescent="0.2">
      <c r="A2117" s="57"/>
      <c r="B2117" s="57"/>
      <c r="C2117" s="57"/>
      <c r="D2117" s="57"/>
      <c r="E2117" s="57"/>
      <c r="F2117" s="985"/>
      <c r="G2117" s="57"/>
      <c r="H2117" s="57"/>
      <c r="I2117" s="990"/>
      <c r="J2117" s="57"/>
      <c r="K2117" s="57"/>
      <c r="L2117" s="57"/>
      <c r="M2117" s="57"/>
      <c r="N2117" s="57"/>
      <c r="O2117" s="57"/>
      <c r="P2117" s="57"/>
      <c r="Q2117" s="57"/>
      <c r="R2117" s="57"/>
      <c r="S2117" s="57"/>
      <c r="T2117" s="57"/>
      <c r="U2117" s="57"/>
      <c r="V2117" s="57"/>
      <c r="W2117" s="57"/>
      <c r="X2117" s="57"/>
      <c r="Y2117" s="57"/>
      <c r="Z2117" s="57"/>
      <c r="AA2117" s="57"/>
      <c r="AB2117" s="57"/>
      <c r="AC2117" s="57"/>
      <c r="AD2117" s="57"/>
      <c r="AE2117" s="57"/>
      <c r="AF2117" s="57"/>
    </row>
    <row r="2118" spans="1:32" x14ac:dyDescent="0.2">
      <c r="A2118" s="57"/>
      <c r="B2118" s="57"/>
      <c r="C2118" s="57"/>
      <c r="D2118" s="57"/>
      <c r="E2118" s="57"/>
      <c r="F2118" s="985"/>
      <c r="G2118" s="57"/>
      <c r="H2118" s="57"/>
      <c r="I2118" s="990"/>
      <c r="J2118" s="57"/>
      <c r="K2118" s="57"/>
      <c r="L2118" s="57"/>
      <c r="M2118" s="57"/>
      <c r="N2118" s="57"/>
      <c r="O2118" s="57"/>
      <c r="P2118" s="57"/>
      <c r="Q2118" s="57"/>
      <c r="R2118" s="57"/>
      <c r="S2118" s="57"/>
      <c r="T2118" s="57"/>
      <c r="U2118" s="57"/>
      <c r="V2118" s="57"/>
      <c r="W2118" s="57"/>
      <c r="X2118" s="57"/>
      <c r="Y2118" s="57"/>
      <c r="Z2118" s="57"/>
      <c r="AA2118" s="57"/>
      <c r="AB2118" s="57"/>
      <c r="AC2118" s="57"/>
      <c r="AD2118" s="57"/>
      <c r="AE2118" s="57"/>
      <c r="AF2118" s="57"/>
    </row>
    <row r="2119" spans="1:32" x14ac:dyDescent="0.2">
      <c r="A2119" s="57"/>
      <c r="B2119" s="57"/>
      <c r="C2119" s="57"/>
      <c r="D2119" s="57"/>
      <c r="E2119" s="57"/>
      <c r="F2119" s="985"/>
      <c r="G2119" s="57"/>
      <c r="H2119" s="57"/>
      <c r="I2119" s="990"/>
      <c r="J2119" s="57"/>
      <c r="K2119" s="57"/>
      <c r="L2119" s="57"/>
      <c r="M2119" s="57"/>
      <c r="N2119" s="57"/>
      <c r="O2119" s="57"/>
      <c r="P2119" s="57"/>
      <c r="Q2119" s="57"/>
      <c r="R2119" s="57"/>
      <c r="S2119" s="57"/>
      <c r="T2119" s="57"/>
      <c r="U2119" s="57"/>
      <c r="V2119" s="57"/>
      <c r="W2119" s="57"/>
      <c r="X2119" s="57"/>
      <c r="Y2119" s="57"/>
      <c r="Z2119" s="57"/>
      <c r="AA2119" s="57"/>
      <c r="AB2119" s="57"/>
      <c r="AC2119" s="57"/>
      <c r="AD2119" s="57"/>
      <c r="AE2119" s="57"/>
      <c r="AF2119" s="57"/>
    </row>
    <row r="2120" spans="1:32" x14ac:dyDescent="0.2">
      <c r="A2120" s="57"/>
      <c r="B2120" s="57"/>
      <c r="C2120" s="57"/>
      <c r="D2120" s="57"/>
      <c r="E2120" s="57"/>
      <c r="F2120" s="985"/>
      <c r="G2120" s="57"/>
      <c r="H2120" s="57"/>
      <c r="I2120" s="990"/>
      <c r="J2120" s="57"/>
      <c r="K2120" s="57"/>
      <c r="L2120" s="57"/>
      <c r="M2120" s="57"/>
      <c r="N2120" s="57"/>
      <c r="O2120" s="57"/>
      <c r="P2120" s="57"/>
      <c r="Q2120" s="57"/>
      <c r="R2120" s="57"/>
      <c r="S2120" s="57"/>
      <c r="T2120" s="57"/>
      <c r="U2120" s="57"/>
      <c r="V2120" s="57"/>
      <c r="W2120" s="57"/>
      <c r="X2120" s="57"/>
      <c r="Y2120" s="57"/>
      <c r="Z2120" s="57"/>
      <c r="AA2120" s="57"/>
      <c r="AB2120" s="57"/>
      <c r="AC2120" s="57"/>
      <c r="AD2120" s="57"/>
      <c r="AE2120" s="57"/>
      <c r="AF2120" s="57"/>
    </row>
    <row r="2121" spans="1:32" x14ac:dyDescent="0.2">
      <c r="A2121" s="57"/>
      <c r="B2121" s="57"/>
      <c r="C2121" s="57"/>
      <c r="D2121" s="57"/>
      <c r="E2121" s="57"/>
      <c r="F2121" s="985"/>
      <c r="G2121" s="57"/>
      <c r="H2121" s="57"/>
      <c r="I2121" s="990"/>
      <c r="J2121" s="57"/>
      <c r="K2121" s="57"/>
      <c r="L2121" s="57"/>
      <c r="M2121" s="57"/>
      <c r="N2121" s="57"/>
      <c r="O2121" s="57"/>
      <c r="P2121" s="57"/>
      <c r="Q2121" s="57"/>
      <c r="R2121" s="57"/>
      <c r="S2121" s="57"/>
      <c r="T2121" s="57"/>
      <c r="U2121" s="57"/>
      <c r="V2121" s="57"/>
      <c r="W2121" s="57"/>
      <c r="X2121" s="57"/>
      <c r="Y2121" s="57"/>
      <c r="Z2121" s="57"/>
      <c r="AA2121" s="57"/>
      <c r="AB2121" s="57"/>
      <c r="AC2121" s="57"/>
      <c r="AD2121" s="57"/>
      <c r="AE2121" s="57"/>
      <c r="AF2121" s="57"/>
    </row>
    <row r="2122" spans="1:32" x14ac:dyDescent="0.2">
      <c r="A2122" s="57"/>
      <c r="B2122" s="57"/>
      <c r="C2122" s="57"/>
      <c r="D2122" s="57"/>
      <c r="E2122" s="57"/>
      <c r="F2122" s="985"/>
      <c r="G2122" s="57"/>
      <c r="H2122" s="57"/>
      <c r="I2122" s="990"/>
      <c r="J2122" s="57"/>
      <c r="K2122" s="57"/>
      <c r="L2122" s="57"/>
      <c r="M2122" s="57"/>
      <c r="N2122" s="57"/>
      <c r="O2122" s="57"/>
      <c r="P2122" s="57"/>
      <c r="Q2122" s="57"/>
      <c r="R2122" s="57"/>
      <c r="S2122" s="57"/>
      <c r="T2122" s="57"/>
      <c r="U2122" s="57"/>
      <c r="V2122" s="57"/>
      <c r="W2122" s="57"/>
      <c r="X2122" s="57"/>
      <c r="Y2122" s="57"/>
      <c r="Z2122" s="57"/>
      <c r="AA2122" s="57"/>
      <c r="AB2122" s="57"/>
      <c r="AC2122" s="57"/>
      <c r="AD2122" s="57"/>
      <c r="AE2122" s="57"/>
      <c r="AF2122" s="57"/>
    </row>
    <row r="2123" spans="1:32" x14ac:dyDescent="0.2">
      <c r="A2123" s="57"/>
      <c r="B2123" s="57"/>
      <c r="C2123" s="57"/>
      <c r="D2123" s="57"/>
      <c r="E2123" s="57"/>
      <c r="F2123" s="985"/>
      <c r="G2123" s="57"/>
      <c r="H2123" s="57"/>
      <c r="I2123" s="990"/>
      <c r="J2123" s="57"/>
      <c r="K2123" s="57"/>
      <c r="L2123" s="57"/>
      <c r="M2123" s="57"/>
      <c r="N2123" s="57"/>
      <c r="O2123" s="57"/>
      <c r="P2123" s="57"/>
      <c r="Q2123" s="57"/>
      <c r="R2123" s="57"/>
      <c r="S2123" s="57"/>
      <c r="T2123" s="57"/>
      <c r="U2123" s="57"/>
      <c r="V2123" s="57"/>
      <c r="W2123" s="57"/>
      <c r="X2123" s="57"/>
      <c r="Y2123" s="57"/>
      <c r="Z2123" s="57"/>
      <c r="AA2123" s="57"/>
      <c r="AB2123" s="57"/>
      <c r="AC2123" s="57"/>
      <c r="AD2123" s="57"/>
      <c r="AE2123" s="57"/>
      <c r="AF2123" s="57"/>
    </row>
    <row r="2124" spans="1:32" x14ac:dyDescent="0.2">
      <c r="A2124" s="57"/>
      <c r="B2124" s="57"/>
      <c r="C2124" s="57"/>
      <c r="D2124" s="57"/>
      <c r="E2124" s="57"/>
      <c r="F2124" s="985"/>
      <c r="G2124" s="57"/>
      <c r="H2124" s="57"/>
      <c r="I2124" s="990"/>
      <c r="J2124" s="57"/>
      <c r="K2124" s="57"/>
      <c r="L2124" s="57"/>
      <c r="M2124" s="57"/>
      <c r="N2124" s="57"/>
      <c r="O2124" s="57"/>
      <c r="P2124" s="57"/>
      <c r="Q2124" s="57"/>
      <c r="R2124" s="57"/>
      <c r="S2124" s="57"/>
      <c r="T2124" s="57"/>
      <c r="U2124" s="57"/>
      <c r="V2124" s="57"/>
      <c r="W2124" s="57"/>
      <c r="X2124" s="57"/>
      <c r="Y2124" s="57"/>
      <c r="Z2124" s="57"/>
      <c r="AA2124" s="57"/>
      <c r="AB2124" s="57"/>
      <c r="AC2124" s="57"/>
      <c r="AD2124" s="57"/>
      <c r="AE2124" s="57"/>
      <c r="AF2124" s="57"/>
    </row>
    <row r="2125" spans="1:32" x14ac:dyDescent="0.2">
      <c r="A2125" s="57"/>
      <c r="B2125" s="57"/>
      <c r="C2125" s="57"/>
      <c r="D2125" s="57"/>
      <c r="E2125" s="57"/>
      <c r="F2125" s="985"/>
      <c r="G2125" s="57"/>
      <c r="H2125" s="57"/>
      <c r="I2125" s="990"/>
      <c r="J2125" s="57"/>
      <c r="K2125" s="57"/>
      <c r="L2125" s="57"/>
      <c r="M2125" s="57"/>
      <c r="N2125" s="57"/>
      <c r="O2125" s="57"/>
      <c r="P2125" s="57"/>
      <c r="Q2125" s="57"/>
      <c r="R2125" s="57"/>
      <c r="S2125" s="57"/>
      <c r="T2125" s="57"/>
      <c r="U2125" s="57"/>
      <c r="V2125" s="57"/>
      <c r="W2125" s="57"/>
      <c r="X2125" s="57"/>
      <c r="Y2125" s="57"/>
      <c r="Z2125" s="57"/>
      <c r="AA2125" s="57"/>
      <c r="AB2125" s="57"/>
      <c r="AC2125" s="57"/>
      <c r="AD2125" s="57"/>
      <c r="AE2125" s="57"/>
      <c r="AF2125" s="57"/>
    </row>
    <row r="2126" spans="1:32" x14ac:dyDescent="0.2">
      <c r="A2126" s="57"/>
      <c r="B2126" s="57"/>
      <c r="C2126" s="57"/>
      <c r="D2126" s="57"/>
      <c r="E2126" s="57"/>
      <c r="F2126" s="985"/>
      <c r="G2126" s="57"/>
      <c r="H2126" s="57"/>
      <c r="I2126" s="990"/>
      <c r="J2126" s="57"/>
      <c r="K2126" s="57"/>
      <c r="L2126" s="57"/>
      <c r="M2126" s="57"/>
      <c r="N2126" s="57"/>
      <c r="O2126" s="57"/>
      <c r="P2126" s="57"/>
      <c r="Q2126" s="57"/>
      <c r="R2126" s="57"/>
      <c r="S2126" s="57"/>
      <c r="T2126" s="57"/>
      <c r="U2126" s="57"/>
      <c r="V2126" s="57"/>
      <c r="W2126" s="57"/>
      <c r="X2126" s="57"/>
      <c r="Y2126" s="57"/>
      <c r="Z2126" s="57"/>
      <c r="AA2126" s="57"/>
      <c r="AB2126" s="57"/>
      <c r="AC2126" s="57"/>
      <c r="AD2126" s="57"/>
      <c r="AE2126" s="57"/>
      <c r="AF2126" s="57"/>
    </row>
    <row r="2127" spans="1:32" x14ac:dyDescent="0.2">
      <c r="A2127" s="57"/>
      <c r="B2127" s="57"/>
      <c r="C2127" s="57"/>
      <c r="D2127" s="57"/>
      <c r="E2127" s="57"/>
      <c r="F2127" s="985"/>
      <c r="G2127" s="57"/>
      <c r="H2127" s="57"/>
      <c r="I2127" s="990"/>
      <c r="J2127" s="57"/>
      <c r="K2127" s="57"/>
      <c r="L2127" s="57"/>
      <c r="M2127" s="57"/>
      <c r="N2127" s="57"/>
      <c r="O2127" s="57"/>
      <c r="P2127" s="57"/>
      <c r="Q2127" s="57"/>
      <c r="R2127" s="57"/>
      <c r="S2127" s="57"/>
      <c r="T2127" s="57"/>
      <c r="U2127" s="57"/>
      <c r="V2127" s="57"/>
      <c r="W2127" s="57"/>
      <c r="X2127" s="57"/>
      <c r="Y2127" s="57"/>
      <c r="Z2127" s="57"/>
      <c r="AA2127" s="57"/>
      <c r="AB2127" s="57"/>
      <c r="AC2127" s="57"/>
      <c r="AD2127" s="57"/>
      <c r="AE2127" s="57"/>
      <c r="AF2127" s="57"/>
    </row>
    <row r="2128" spans="1:32" x14ac:dyDescent="0.2">
      <c r="A2128" s="57"/>
      <c r="B2128" s="57"/>
      <c r="C2128" s="57"/>
      <c r="D2128" s="57"/>
      <c r="E2128" s="57"/>
      <c r="F2128" s="985"/>
      <c r="G2128" s="57"/>
      <c r="H2128" s="57"/>
      <c r="I2128" s="990"/>
      <c r="J2128" s="57"/>
      <c r="K2128" s="57"/>
      <c r="L2128" s="57"/>
      <c r="M2128" s="57"/>
      <c r="N2128" s="57"/>
      <c r="O2128" s="57"/>
      <c r="P2128" s="57"/>
      <c r="Q2128" s="57"/>
      <c r="R2128" s="57"/>
      <c r="S2128" s="57"/>
      <c r="T2128" s="57"/>
      <c r="U2128" s="57"/>
      <c r="V2128" s="57"/>
      <c r="W2128" s="57"/>
      <c r="X2128" s="57"/>
      <c r="Y2128" s="57"/>
      <c r="Z2128" s="57"/>
      <c r="AA2128" s="57"/>
      <c r="AB2128" s="57"/>
      <c r="AC2128" s="57"/>
      <c r="AD2128" s="57"/>
      <c r="AE2128" s="57"/>
      <c r="AF2128" s="57"/>
    </row>
    <row r="2129" spans="1:32" x14ac:dyDescent="0.2">
      <c r="A2129" s="57"/>
      <c r="B2129" s="57"/>
      <c r="C2129" s="57"/>
      <c r="D2129" s="57"/>
      <c r="E2129" s="57"/>
      <c r="F2129" s="985"/>
      <c r="G2129" s="57"/>
      <c r="H2129" s="57"/>
      <c r="I2129" s="990"/>
      <c r="J2129" s="57"/>
      <c r="K2129" s="57"/>
      <c r="L2129" s="57"/>
      <c r="M2129" s="57"/>
      <c r="N2129" s="57"/>
      <c r="O2129" s="57"/>
      <c r="P2129" s="57"/>
      <c r="Q2129" s="57"/>
      <c r="R2129" s="57"/>
      <c r="S2129" s="57"/>
      <c r="T2129" s="57"/>
      <c r="U2129" s="57"/>
      <c r="V2129" s="57"/>
      <c r="W2129" s="57"/>
      <c r="X2129" s="57"/>
      <c r="Y2129" s="57"/>
      <c r="Z2129" s="57"/>
      <c r="AA2129" s="57"/>
      <c r="AB2129" s="57"/>
      <c r="AC2129" s="57"/>
      <c r="AD2129" s="57"/>
      <c r="AE2129" s="57"/>
      <c r="AF2129" s="57"/>
    </row>
    <row r="2130" spans="1:32" x14ac:dyDescent="0.2">
      <c r="A2130" s="57"/>
      <c r="B2130" s="57"/>
      <c r="C2130" s="57"/>
      <c r="D2130" s="57"/>
      <c r="E2130" s="57"/>
      <c r="F2130" s="985"/>
      <c r="G2130" s="57"/>
      <c r="H2130" s="57"/>
      <c r="I2130" s="990"/>
      <c r="J2130" s="57"/>
      <c r="K2130" s="57"/>
      <c r="L2130" s="57"/>
      <c r="M2130" s="57"/>
      <c r="N2130" s="57"/>
      <c r="O2130" s="57"/>
      <c r="P2130" s="57"/>
      <c r="Q2130" s="57"/>
      <c r="R2130" s="57"/>
      <c r="S2130" s="57"/>
      <c r="T2130" s="57"/>
      <c r="U2130" s="57"/>
      <c r="V2130" s="57"/>
      <c r="W2130" s="57"/>
      <c r="X2130" s="57"/>
      <c r="Y2130" s="57"/>
      <c r="Z2130" s="57"/>
      <c r="AA2130" s="57"/>
      <c r="AB2130" s="57"/>
      <c r="AC2130" s="57"/>
      <c r="AD2130" s="57"/>
      <c r="AE2130" s="57"/>
      <c r="AF2130" s="57"/>
    </row>
    <row r="2131" spans="1:32" x14ac:dyDescent="0.2">
      <c r="A2131" s="57"/>
      <c r="B2131" s="57"/>
      <c r="C2131" s="57"/>
      <c r="D2131" s="57"/>
      <c r="E2131" s="57"/>
      <c r="F2131" s="985"/>
      <c r="G2131" s="57"/>
      <c r="H2131" s="57"/>
      <c r="I2131" s="990"/>
      <c r="J2131" s="57"/>
      <c r="K2131" s="57"/>
      <c r="L2131" s="57"/>
      <c r="M2131" s="57"/>
      <c r="N2131" s="57"/>
      <c r="O2131" s="57"/>
      <c r="P2131" s="57"/>
      <c r="Q2131" s="57"/>
      <c r="R2131" s="57"/>
      <c r="S2131" s="57"/>
      <c r="T2131" s="57"/>
      <c r="U2131" s="57"/>
      <c r="V2131" s="57"/>
      <c r="W2131" s="57"/>
      <c r="X2131" s="57"/>
      <c r="Y2131" s="57"/>
      <c r="Z2131" s="57"/>
      <c r="AA2131" s="57"/>
      <c r="AB2131" s="57"/>
      <c r="AC2131" s="57"/>
      <c r="AD2131" s="57"/>
      <c r="AE2131" s="57"/>
      <c r="AF2131" s="57"/>
    </row>
    <row r="2132" spans="1:32" x14ac:dyDescent="0.2">
      <c r="A2132" s="57"/>
      <c r="B2132" s="57"/>
      <c r="C2132" s="57"/>
      <c r="D2132" s="57"/>
      <c r="E2132" s="57"/>
      <c r="F2132" s="985"/>
      <c r="G2132" s="57"/>
      <c r="H2132" s="57"/>
      <c r="I2132" s="990"/>
      <c r="J2132" s="57"/>
      <c r="K2132" s="57"/>
      <c r="L2132" s="57"/>
      <c r="M2132" s="57"/>
      <c r="N2132" s="57"/>
      <c r="O2132" s="57"/>
      <c r="P2132" s="57"/>
      <c r="Q2132" s="57"/>
      <c r="R2132" s="57"/>
      <c r="S2132" s="57"/>
      <c r="T2132" s="57"/>
      <c r="U2132" s="57"/>
      <c r="V2132" s="57"/>
      <c r="W2132" s="57"/>
      <c r="X2132" s="57"/>
      <c r="Y2132" s="57"/>
      <c r="Z2132" s="57"/>
      <c r="AA2132" s="57"/>
      <c r="AB2132" s="57"/>
      <c r="AC2132" s="57"/>
      <c r="AD2132" s="57"/>
      <c r="AE2132" s="57"/>
      <c r="AF2132" s="57"/>
    </row>
    <row r="2133" spans="1:32" x14ac:dyDescent="0.2">
      <c r="A2133" s="57"/>
      <c r="B2133" s="57"/>
      <c r="C2133" s="57"/>
      <c r="D2133" s="57"/>
      <c r="E2133" s="57"/>
      <c r="F2133" s="985"/>
      <c r="G2133" s="57"/>
      <c r="H2133" s="57"/>
      <c r="I2133" s="990"/>
      <c r="J2133" s="57"/>
      <c r="K2133" s="57"/>
      <c r="L2133" s="57"/>
      <c r="M2133" s="57"/>
      <c r="N2133" s="57"/>
      <c r="O2133" s="57"/>
      <c r="P2133" s="57"/>
      <c r="Q2133" s="57"/>
      <c r="R2133" s="57"/>
      <c r="S2133" s="57"/>
      <c r="T2133" s="57"/>
      <c r="U2133" s="57"/>
      <c r="V2133" s="57"/>
      <c r="W2133" s="57"/>
      <c r="X2133" s="57"/>
      <c r="Y2133" s="57"/>
      <c r="Z2133" s="57"/>
      <c r="AA2133" s="57"/>
      <c r="AB2133" s="57"/>
      <c r="AC2133" s="57"/>
      <c r="AD2133" s="57"/>
      <c r="AE2133" s="57"/>
      <c r="AF2133" s="57"/>
    </row>
    <row r="2134" spans="1:32" x14ac:dyDescent="0.2">
      <c r="A2134" s="57"/>
      <c r="B2134" s="57"/>
      <c r="C2134" s="57"/>
      <c r="D2134" s="57"/>
      <c r="E2134" s="57"/>
      <c r="F2134" s="985"/>
      <c r="G2134" s="57"/>
      <c r="H2134" s="57"/>
      <c r="I2134" s="990"/>
      <c r="J2134" s="57"/>
      <c r="K2134" s="57"/>
      <c r="L2134" s="57"/>
      <c r="M2134" s="57"/>
      <c r="N2134" s="57"/>
      <c r="O2134" s="57"/>
      <c r="P2134" s="57"/>
      <c r="Q2134" s="57"/>
      <c r="R2134" s="57"/>
      <c r="S2134" s="57"/>
      <c r="T2134" s="57"/>
      <c r="U2134" s="57"/>
      <c r="V2134" s="57"/>
      <c r="W2134" s="57"/>
      <c r="X2134" s="57"/>
      <c r="Y2134" s="57"/>
      <c r="Z2134" s="57"/>
      <c r="AA2134" s="57"/>
      <c r="AB2134" s="57"/>
      <c r="AC2134" s="57"/>
      <c r="AD2134" s="57"/>
      <c r="AE2134" s="57"/>
      <c r="AF2134" s="57"/>
    </row>
    <row r="2135" spans="1:32" x14ac:dyDescent="0.2">
      <c r="A2135" s="57"/>
      <c r="B2135" s="57"/>
      <c r="C2135" s="57"/>
      <c r="D2135" s="57"/>
      <c r="E2135" s="57"/>
      <c r="F2135" s="985"/>
      <c r="G2135" s="57"/>
      <c r="H2135" s="57"/>
      <c r="I2135" s="990"/>
      <c r="J2135" s="57"/>
      <c r="K2135" s="57"/>
      <c r="L2135" s="57"/>
      <c r="M2135" s="57"/>
      <c r="N2135" s="57"/>
      <c r="O2135" s="57"/>
      <c r="P2135" s="57"/>
      <c r="Q2135" s="57"/>
      <c r="R2135" s="57"/>
      <c r="S2135" s="57"/>
      <c r="T2135" s="57"/>
      <c r="U2135" s="57"/>
      <c r="V2135" s="57"/>
      <c r="W2135" s="57"/>
      <c r="X2135" s="57"/>
      <c r="Y2135" s="57"/>
      <c r="Z2135" s="57"/>
      <c r="AA2135" s="57"/>
      <c r="AB2135" s="57"/>
      <c r="AC2135" s="57"/>
      <c r="AD2135" s="57"/>
      <c r="AE2135" s="57"/>
      <c r="AF2135" s="57"/>
    </row>
    <row r="2136" spans="1:32" x14ac:dyDescent="0.2">
      <c r="A2136" s="57"/>
      <c r="B2136" s="57"/>
      <c r="C2136" s="57"/>
      <c r="D2136" s="57"/>
      <c r="E2136" s="57"/>
      <c r="F2136" s="985"/>
      <c r="G2136" s="57"/>
      <c r="H2136" s="57"/>
      <c r="I2136" s="990"/>
      <c r="J2136" s="57"/>
      <c r="K2136" s="57"/>
      <c r="L2136" s="57"/>
      <c r="M2136" s="57"/>
      <c r="N2136" s="57"/>
      <c r="O2136" s="57"/>
      <c r="P2136" s="57"/>
      <c r="Q2136" s="57"/>
      <c r="R2136" s="57"/>
      <c r="S2136" s="57"/>
      <c r="T2136" s="57"/>
      <c r="U2136" s="57"/>
      <c r="V2136" s="57"/>
      <c r="W2136" s="57"/>
      <c r="X2136" s="57"/>
      <c r="Y2136" s="57"/>
      <c r="Z2136" s="57"/>
      <c r="AA2136" s="57"/>
      <c r="AB2136" s="57"/>
      <c r="AC2136" s="57"/>
      <c r="AD2136" s="57"/>
      <c r="AE2136" s="57"/>
      <c r="AF2136" s="57"/>
    </row>
    <row r="2137" spans="1:32" x14ac:dyDescent="0.2">
      <c r="A2137" s="57"/>
      <c r="B2137" s="57"/>
      <c r="C2137" s="57"/>
      <c r="D2137" s="57"/>
      <c r="E2137" s="57"/>
      <c r="F2137" s="985"/>
      <c r="G2137" s="57"/>
      <c r="H2137" s="57"/>
      <c r="I2137" s="990"/>
      <c r="J2137" s="57"/>
      <c r="K2137" s="57"/>
      <c r="L2137" s="57"/>
      <c r="M2137" s="57"/>
      <c r="N2137" s="57"/>
      <c r="O2137" s="57"/>
      <c r="P2137" s="57"/>
      <c r="Q2137" s="57"/>
      <c r="R2137" s="57"/>
      <c r="S2137" s="57"/>
      <c r="T2137" s="57"/>
      <c r="U2137" s="57"/>
      <c r="V2137" s="57"/>
      <c r="W2137" s="57"/>
      <c r="X2137" s="57"/>
      <c r="Y2137" s="57"/>
      <c r="Z2137" s="57"/>
      <c r="AA2137" s="57"/>
      <c r="AB2137" s="57"/>
      <c r="AC2137" s="57"/>
      <c r="AD2137" s="57"/>
      <c r="AE2137" s="57"/>
      <c r="AF2137" s="57"/>
    </row>
    <row r="2138" spans="1:32" x14ac:dyDescent="0.2">
      <c r="A2138" s="57"/>
      <c r="B2138" s="57"/>
      <c r="C2138" s="57"/>
      <c r="D2138" s="57"/>
      <c r="E2138" s="57"/>
      <c r="F2138" s="985"/>
      <c r="G2138" s="57"/>
      <c r="H2138" s="57"/>
      <c r="I2138" s="990"/>
      <c r="J2138" s="57"/>
      <c r="K2138" s="57"/>
      <c r="L2138" s="57"/>
      <c r="M2138" s="57"/>
      <c r="N2138" s="57"/>
      <c r="O2138" s="57"/>
      <c r="P2138" s="57"/>
      <c r="Q2138" s="57"/>
      <c r="R2138" s="57"/>
      <c r="S2138" s="57"/>
      <c r="T2138" s="57"/>
      <c r="U2138" s="57"/>
      <c r="V2138" s="57"/>
      <c r="W2138" s="57"/>
      <c r="X2138" s="57"/>
      <c r="Y2138" s="57"/>
      <c r="Z2138" s="57"/>
      <c r="AA2138" s="57"/>
      <c r="AB2138" s="57"/>
      <c r="AC2138" s="57"/>
      <c r="AD2138" s="57"/>
      <c r="AE2138" s="57"/>
      <c r="AF2138" s="57"/>
    </row>
    <row r="2139" spans="1:32" x14ac:dyDescent="0.2">
      <c r="A2139" s="57"/>
      <c r="B2139" s="57"/>
      <c r="C2139" s="57"/>
      <c r="D2139" s="57"/>
      <c r="E2139" s="57"/>
      <c r="F2139" s="985"/>
      <c r="G2139" s="57"/>
      <c r="H2139" s="57"/>
      <c r="I2139" s="990"/>
      <c r="J2139" s="57"/>
      <c r="K2139" s="57"/>
      <c r="L2139" s="57"/>
      <c r="M2139" s="57"/>
      <c r="N2139" s="57"/>
      <c r="O2139" s="57"/>
      <c r="P2139" s="57"/>
      <c r="Q2139" s="57"/>
      <c r="R2139" s="57"/>
      <c r="S2139" s="57"/>
      <c r="T2139" s="57"/>
      <c r="U2139" s="57"/>
      <c r="V2139" s="57"/>
      <c r="W2139" s="57"/>
      <c r="X2139" s="57"/>
      <c r="Y2139" s="57"/>
      <c r="Z2139" s="57"/>
      <c r="AA2139" s="57"/>
      <c r="AB2139" s="57"/>
      <c r="AC2139" s="57"/>
      <c r="AD2139" s="57"/>
      <c r="AE2139" s="57"/>
      <c r="AF2139" s="57"/>
    </row>
    <row r="2140" spans="1:32" x14ac:dyDescent="0.2">
      <c r="A2140" s="57"/>
      <c r="B2140" s="57"/>
      <c r="C2140" s="57"/>
      <c r="D2140" s="57"/>
      <c r="E2140" s="57"/>
      <c r="F2140" s="985"/>
      <c r="G2140" s="57"/>
      <c r="H2140" s="57"/>
      <c r="I2140" s="990"/>
      <c r="J2140" s="57"/>
      <c r="K2140" s="57"/>
      <c r="L2140" s="57"/>
      <c r="M2140" s="57"/>
      <c r="N2140" s="57"/>
      <c r="O2140" s="57"/>
      <c r="P2140" s="57"/>
      <c r="Q2140" s="57"/>
      <c r="R2140" s="57"/>
      <c r="S2140" s="57"/>
      <c r="T2140" s="57"/>
      <c r="U2140" s="57"/>
      <c r="V2140" s="57"/>
      <c r="W2140" s="57"/>
      <c r="X2140" s="57"/>
      <c r="Y2140" s="57"/>
      <c r="Z2140" s="57"/>
      <c r="AA2140" s="57"/>
      <c r="AB2140" s="57"/>
      <c r="AC2140" s="57"/>
      <c r="AD2140" s="57"/>
      <c r="AE2140" s="57"/>
      <c r="AF2140" s="57"/>
    </row>
    <row r="2141" spans="1:32" x14ac:dyDescent="0.2">
      <c r="A2141" s="57"/>
      <c r="B2141" s="57"/>
      <c r="C2141" s="57"/>
      <c r="D2141" s="57"/>
      <c r="E2141" s="57"/>
      <c r="F2141" s="985"/>
      <c r="G2141" s="57"/>
      <c r="H2141" s="57"/>
      <c r="I2141" s="990"/>
      <c r="J2141" s="57"/>
      <c r="K2141" s="57"/>
      <c r="L2141" s="57"/>
      <c r="M2141" s="57"/>
      <c r="N2141" s="57"/>
      <c r="O2141" s="57"/>
      <c r="P2141" s="57"/>
      <c r="Q2141" s="57"/>
      <c r="R2141" s="57"/>
      <c r="S2141" s="57"/>
      <c r="T2141" s="57"/>
      <c r="U2141" s="57"/>
      <c r="V2141" s="57"/>
      <c r="W2141" s="57"/>
      <c r="X2141" s="57"/>
      <c r="Y2141" s="57"/>
      <c r="Z2141" s="57"/>
      <c r="AA2141" s="57"/>
      <c r="AB2141" s="57"/>
      <c r="AC2141" s="57"/>
      <c r="AD2141" s="57"/>
      <c r="AE2141" s="57"/>
      <c r="AF2141" s="57"/>
    </row>
    <row r="2142" spans="1:32" x14ac:dyDescent="0.2">
      <c r="A2142" s="57"/>
      <c r="B2142" s="57"/>
      <c r="C2142" s="57"/>
      <c r="D2142" s="57"/>
      <c r="E2142" s="57"/>
      <c r="F2142" s="985"/>
      <c r="G2142" s="57"/>
      <c r="H2142" s="57"/>
      <c r="I2142" s="990"/>
      <c r="J2142" s="57"/>
      <c r="K2142" s="57"/>
      <c r="L2142" s="57"/>
      <c r="M2142" s="57"/>
      <c r="N2142" s="57"/>
      <c r="O2142" s="57"/>
      <c r="P2142" s="57"/>
      <c r="Q2142" s="57"/>
      <c r="R2142" s="57"/>
      <c r="S2142" s="57"/>
      <c r="T2142" s="57"/>
      <c r="U2142" s="57"/>
      <c r="V2142" s="57"/>
      <c r="W2142" s="57"/>
      <c r="X2142" s="57"/>
      <c r="Y2142" s="57"/>
      <c r="Z2142" s="57"/>
      <c r="AA2142" s="57"/>
      <c r="AB2142" s="57"/>
      <c r="AC2142" s="57"/>
      <c r="AD2142" s="57"/>
      <c r="AE2142" s="57"/>
      <c r="AF2142" s="57"/>
    </row>
    <row r="2143" spans="1:32" x14ac:dyDescent="0.2">
      <c r="A2143" s="57"/>
      <c r="B2143" s="57"/>
      <c r="C2143" s="57"/>
      <c r="D2143" s="57"/>
      <c r="E2143" s="57"/>
      <c r="F2143" s="985"/>
      <c r="G2143" s="57"/>
      <c r="H2143" s="57"/>
      <c r="I2143" s="990"/>
      <c r="J2143" s="57"/>
      <c r="K2143" s="57"/>
      <c r="L2143" s="57"/>
      <c r="M2143" s="57"/>
      <c r="N2143" s="57"/>
      <c r="O2143" s="57"/>
      <c r="P2143" s="57"/>
      <c r="Q2143" s="57"/>
      <c r="R2143" s="57"/>
      <c r="S2143" s="57"/>
      <c r="T2143" s="57"/>
      <c r="U2143" s="57"/>
      <c r="V2143" s="57"/>
      <c r="W2143" s="57"/>
      <c r="X2143" s="57"/>
      <c r="Y2143" s="57"/>
      <c r="Z2143" s="57"/>
      <c r="AA2143" s="57"/>
      <c r="AB2143" s="57"/>
      <c r="AC2143" s="57"/>
      <c r="AD2143" s="57"/>
      <c r="AE2143" s="57"/>
      <c r="AF2143" s="57"/>
    </row>
    <row r="2144" spans="1:32" x14ac:dyDescent="0.2">
      <c r="A2144" s="57"/>
      <c r="B2144" s="57"/>
      <c r="C2144" s="57"/>
      <c r="D2144" s="57"/>
      <c r="E2144" s="57"/>
      <c r="F2144" s="985"/>
      <c r="G2144" s="57"/>
      <c r="H2144" s="57"/>
      <c r="I2144" s="990"/>
      <c r="J2144" s="57"/>
      <c r="K2144" s="57"/>
      <c r="L2144" s="57"/>
      <c r="M2144" s="57"/>
      <c r="N2144" s="57"/>
      <c r="O2144" s="57"/>
      <c r="P2144" s="57"/>
      <c r="Q2144" s="57"/>
      <c r="R2144" s="57"/>
      <c r="S2144" s="57"/>
      <c r="T2144" s="57"/>
      <c r="U2144" s="57"/>
      <c r="V2144" s="57"/>
      <c r="W2144" s="57"/>
      <c r="X2144" s="57"/>
      <c r="Y2144" s="57"/>
      <c r="Z2144" s="57"/>
      <c r="AA2144" s="57"/>
      <c r="AB2144" s="57"/>
      <c r="AC2144" s="57"/>
      <c r="AD2144" s="57"/>
      <c r="AE2144" s="57"/>
      <c r="AF2144" s="57"/>
    </row>
    <row r="2145" spans="1:32" x14ac:dyDescent="0.2">
      <c r="A2145" s="57"/>
      <c r="B2145" s="57"/>
      <c r="C2145" s="57"/>
      <c r="D2145" s="57"/>
      <c r="E2145" s="57"/>
      <c r="F2145" s="985"/>
      <c r="G2145" s="57"/>
      <c r="H2145" s="57"/>
      <c r="I2145" s="990"/>
      <c r="J2145" s="57"/>
      <c r="K2145" s="57"/>
      <c r="L2145" s="57"/>
      <c r="M2145" s="57"/>
      <c r="N2145" s="57"/>
      <c r="O2145" s="57"/>
      <c r="P2145" s="57"/>
      <c r="Q2145" s="57"/>
      <c r="R2145" s="57"/>
      <c r="S2145" s="57"/>
      <c r="T2145" s="57"/>
      <c r="U2145" s="57"/>
      <c r="V2145" s="57"/>
      <c r="W2145" s="57"/>
      <c r="X2145" s="57"/>
      <c r="Y2145" s="57"/>
      <c r="Z2145" s="57"/>
      <c r="AA2145" s="57"/>
      <c r="AB2145" s="57"/>
      <c r="AC2145" s="57"/>
      <c r="AD2145" s="57"/>
      <c r="AE2145" s="57"/>
      <c r="AF2145" s="57"/>
    </row>
    <row r="2146" spans="1:32" x14ac:dyDescent="0.2">
      <c r="A2146" s="57"/>
      <c r="B2146" s="57"/>
      <c r="C2146" s="57"/>
      <c r="D2146" s="57"/>
      <c r="E2146" s="57"/>
      <c r="F2146" s="985"/>
      <c r="G2146" s="57"/>
      <c r="H2146" s="57"/>
      <c r="I2146" s="990"/>
      <c r="J2146" s="57"/>
      <c r="K2146" s="57"/>
      <c r="L2146" s="57"/>
      <c r="M2146" s="57"/>
      <c r="N2146" s="57"/>
      <c r="O2146" s="57"/>
      <c r="P2146" s="57"/>
      <c r="Q2146" s="57"/>
      <c r="R2146" s="57"/>
      <c r="S2146" s="57"/>
      <c r="T2146" s="57"/>
      <c r="U2146" s="57"/>
      <c r="V2146" s="57"/>
      <c r="W2146" s="57"/>
      <c r="X2146" s="57"/>
      <c r="Y2146" s="57"/>
      <c r="Z2146" s="57"/>
      <c r="AA2146" s="57"/>
      <c r="AB2146" s="57"/>
      <c r="AC2146" s="57"/>
      <c r="AD2146" s="57"/>
      <c r="AE2146" s="57"/>
      <c r="AF2146" s="57"/>
    </row>
    <row r="2147" spans="1:32" x14ac:dyDescent="0.2">
      <c r="A2147" s="57"/>
      <c r="B2147" s="57"/>
      <c r="C2147" s="57"/>
      <c r="D2147" s="57"/>
      <c r="E2147" s="57"/>
      <c r="F2147" s="985"/>
      <c r="G2147" s="57"/>
      <c r="H2147" s="57"/>
      <c r="I2147" s="990"/>
      <c r="J2147" s="57"/>
      <c r="K2147" s="57"/>
      <c r="L2147" s="57"/>
      <c r="M2147" s="57"/>
      <c r="N2147" s="57"/>
      <c r="O2147" s="57"/>
      <c r="P2147" s="57"/>
      <c r="Q2147" s="57"/>
      <c r="R2147" s="57"/>
      <c r="S2147" s="57"/>
      <c r="T2147" s="57"/>
      <c r="U2147" s="57"/>
      <c r="V2147" s="57"/>
      <c r="W2147" s="57"/>
      <c r="X2147" s="57"/>
      <c r="Y2147" s="57"/>
      <c r="Z2147" s="57"/>
      <c r="AA2147" s="57"/>
      <c r="AB2147" s="57"/>
      <c r="AC2147" s="57"/>
      <c r="AD2147" s="57"/>
      <c r="AE2147" s="57"/>
      <c r="AF2147" s="57"/>
    </row>
    <row r="2148" spans="1:32" x14ac:dyDescent="0.2">
      <c r="A2148" s="57"/>
      <c r="B2148" s="57"/>
      <c r="C2148" s="57"/>
      <c r="D2148" s="57"/>
      <c r="E2148" s="57"/>
      <c r="F2148" s="985"/>
      <c r="G2148" s="57"/>
      <c r="H2148" s="57"/>
      <c r="I2148" s="990"/>
      <c r="J2148" s="57"/>
      <c r="K2148" s="57"/>
      <c r="L2148" s="57"/>
      <c r="M2148" s="57"/>
      <c r="N2148" s="57"/>
      <c r="O2148" s="57"/>
      <c r="P2148" s="57"/>
      <c r="Q2148" s="57"/>
      <c r="R2148" s="57"/>
      <c r="S2148" s="57"/>
      <c r="T2148" s="57"/>
      <c r="U2148" s="57"/>
      <c r="V2148" s="57"/>
      <c r="W2148" s="57"/>
      <c r="X2148" s="57"/>
      <c r="Y2148" s="57"/>
      <c r="Z2148" s="57"/>
      <c r="AA2148" s="57"/>
      <c r="AB2148" s="57"/>
      <c r="AC2148" s="57"/>
      <c r="AD2148" s="57"/>
      <c r="AE2148" s="57"/>
      <c r="AF2148" s="57"/>
    </row>
    <row r="2149" spans="1:32" x14ac:dyDescent="0.2">
      <c r="A2149" s="57"/>
      <c r="B2149" s="57"/>
      <c r="C2149" s="57"/>
      <c r="D2149" s="57"/>
      <c r="E2149" s="57"/>
      <c r="F2149" s="985"/>
      <c r="G2149" s="57"/>
      <c r="H2149" s="57"/>
      <c r="I2149" s="990"/>
      <c r="J2149" s="57"/>
      <c r="K2149" s="57"/>
      <c r="L2149" s="57"/>
      <c r="M2149" s="57"/>
      <c r="N2149" s="57"/>
      <c r="O2149" s="57"/>
      <c r="P2149" s="57"/>
      <c r="Q2149" s="57"/>
      <c r="R2149" s="57"/>
      <c r="S2149" s="57"/>
      <c r="T2149" s="57"/>
      <c r="U2149" s="57"/>
      <c r="V2149" s="57"/>
      <c r="W2149" s="57"/>
      <c r="X2149" s="57"/>
      <c r="Y2149" s="57"/>
      <c r="Z2149" s="57"/>
      <c r="AA2149" s="57"/>
      <c r="AB2149" s="57"/>
      <c r="AC2149" s="57"/>
      <c r="AD2149" s="57"/>
      <c r="AE2149" s="57"/>
      <c r="AF2149" s="57"/>
    </row>
    <row r="2150" spans="1:32" x14ac:dyDescent="0.2">
      <c r="A2150" s="57"/>
      <c r="B2150" s="57"/>
      <c r="C2150" s="57"/>
      <c r="D2150" s="57"/>
      <c r="E2150" s="57"/>
      <c r="F2150" s="985"/>
      <c r="G2150" s="57"/>
      <c r="H2150" s="57"/>
      <c r="I2150" s="990"/>
      <c r="J2150" s="57"/>
      <c r="K2150" s="57"/>
      <c r="L2150" s="57"/>
      <c r="M2150" s="57"/>
      <c r="N2150" s="57"/>
      <c r="O2150" s="57"/>
      <c r="P2150" s="57"/>
      <c r="Q2150" s="57"/>
      <c r="R2150" s="57"/>
      <c r="S2150" s="57"/>
      <c r="T2150" s="57"/>
      <c r="U2150" s="57"/>
      <c r="V2150" s="57"/>
      <c r="W2150" s="57"/>
      <c r="X2150" s="57"/>
      <c r="Y2150" s="57"/>
      <c r="Z2150" s="57"/>
      <c r="AA2150" s="57"/>
      <c r="AB2150" s="57"/>
      <c r="AC2150" s="57"/>
      <c r="AD2150" s="57"/>
      <c r="AE2150" s="57"/>
      <c r="AF2150" s="57"/>
    </row>
    <row r="2151" spans="1:32" x14ac:dyDescent="0.2">
      <c r="A2151" s="57"/>
      <c r="B2151" s="57"/>
      <c r="C2151" s="57"/>
      <c r="D2151" s="57"/>
      <c r="E2151" s="57"/>
      <c r="F2151" s="985"/>
      <c r="G2151" s="57"/>
      <c r="H2151" s="57"/>
      <c r="I2151" s="990"/>
      <c r="J2151" s="57"/>
      <c r="K2151" s="57"/>
      <c r="L2151" s="57"/>
      <c r="M2151" s="57"/>
      <c r="N2151" s="57"/>
      <c r="O2151" s="57"/>
      <c r="P2151" s="57"/>
      <c r="Q2151" s="57"/>
      <c r="R2151" s="57"/>
      <c r="S2151" s="57"/>
      <c r="T2151" s="57"/>
      <c r="U2151" s="57"/>
      <c r="V2151" s="57"/>
      <c r="W2151" s="57"/>
      <c r="X2151" s="57"/>
      <c r="Y2151" s="57"/>
      <c r="Z2151" s="57"/>
      <c r="AA2151" s="57"/>
      <c r="AB2151" s="57"/>
      <c r="AC2151" s="57"/>
      <c r="AD2151" s="57"/>
      <c r="AE2151" s="57"/>
      <c r="AF2151" s="57"/>
    </row>
    <row r="2152" spans="1:32" x14ac:dyDescent="0.2">
      <c r="A2152" s="57"/>
      <c r="B2152" s="57"/>
      <c r="C2152" s="57"/>
      <c r="D2152" s="57"/>
      <c r="E2152" s="57"/>
      <c r="F2152" s="985"/>
      <c r="G2152" s="57"/>
      <c r="H2152" s="57"/>
      <c r="I2152" s="990"/>
      <c r="J2152" s="57"/>
      <c r="K2152" s="57"/>
      <c r="L2152" s="57"/>
      <c r="M2152" s="57"/>
      <c r="N2152" s="57"/>
      <c r="O2152" s="57"/>
      <c r="P2152" s="57"/>
      <c r="Q2152" s="57"/>
      <c r="R2152" s="57"/>
      <c r="S2152" s="57"/>
      <c r="T2152" s="57"/>
      <c r="U2152" s="57"/>
      <c r="V2152" s="57"/>
      <c r="W2152" s="57"/>
      <c r="X2152" s="57"/>
      <c r="Y2152" s="57"/>
      <c r="Z2152" s="57"/>
      <c r="AA2152" s="57"/>
      <c r="AB2152" s="57"/>
      <c r="AC2152" s="57"/>
      <c r="AD2152" s="57"/>
      <c r="AE2152" s="57"/>
      <c r="AF2152" s="57"/>
    </row>
    <row r="2153" spans="1:32" x14ac:dyDescent="0.2">
      <c r="A2153" s="57"/>
      <c r="B2153" s="57"/>
      <c r="C2153" s="57"/>
      <c r="D2153" s="57"/>
      <c r="E2153" s="57"/>
      <c r="F2153" s="985"/>
      <c r="G2153" s="57"/>
      <c r="H2153" s="57"/>
      <c r="I2153" s="990"/>
      <c r="J2153" s="57"/>
      <c r="K2153" s="57"/>
      <c r="L2153" s="57"/>
      <c r="M2153" s="57"/>
      <c r="N2153" s="57"/>
      <c r="O2153" s="57"/>
      <c r="P2153" s="57"/>
      <c r="Q2153" s="57"/>
      <c r="R2153" s="57"/>
      <c r="S2153" s="57"/>
      <c r="T2153" s="57"/>
      <c r="U2153" s="57"/>
      <c r="V2153" s="57"/>
      <c r="W2153" s="57"/>
      <c r="X2153" s="57"/>
      <c r="Y2153" s="57"/>
      <c r="Z2153" s="57"/>
      <c r="AA2153" s="57"/>
      <c r="AB2153" s="57"/>
      <c r="AC2153" s="57"/>
      <c r="AD2153" s="57"/>
      <c r="AE2153" s="57"/>
      <c r="AF2153" s="57"/>
    </row>
    <row r="2154" spans="1:32" x14ac:dyDescent="0.2">
      <c r="A2154" s="57"/>
      <c r="B2154" s="57"/>
      <c r="C2154" s="57"/>
      <c r="D2154" s="57"/>
      <c r="E2154" s="57"/>
      <c r="F2154" s="985"/>
      <c r="G2154" s="57"/>
      <c r="H2154" s="57"/>
      <c r="I2154" s="990"/>
      <c r="J2154" s="57"/>
      <c r="K2154" s="57"/>
      <c r="L2154" s="57"/>
      <c r="M2154" s="57"/>
      <c r="N2154" s="57"/>
      <c r="O2154" s="57"/>
      <c r="P2154" s="57"/>
      <c r="Q2154" s="57"/>
      <c r="R2154" s="57"/>
      <c r="S2154" s="57"/>
      <c r="T2154" s="57"/>
      <c r="U2154" s="57"/>
      <c r="V2154" s="57"/>
      <c r="W2154" s="57"/>
      <c r="X2154" s="57"/>
      <c r="Y2154" s="57"/>
      <c r="Z2154" s="57"/>
      <c r="AA2154" s="57"/>
      <c r="AB2154" s="57"/>
      <c r="AC2154" s="57"/>
      <c r="AD2154" s="57"/>
      <c r="AE2154" s="57"/>
      <c r="AF2154" s="57"/>
    </row>
    <row r="2155" spans="1:32" x14ac:dyDescent="0.2">
      <c r="A2155" s="57"/>
      <c r="B2155" s="57"/>
      <c r="C2155" s="57"/>
      <c r="D2155" s="57"/>
      <c r="E2155" s="57"/>
      <c r="F2155" s="985"/>
      <c r="G2155" s="57"/>
      <c r="H2155" s="57"/>
      <c r="I2155" s="990"/>
      <c r="J2155" s="57"/>
      <c r="K2155" s="57"/>
      <c r="L2155" s="57"/>
      <c r="M2155" s="57"/>
      <c r="N2155" s="57"/>
      <c r="O2155" s="57"/>
      <c r="P2155" s="57"/>
      <c r="Q2155" s="57"/>
      <c r="R2155" s="57"/>
      <c r="S2155" s="57"/>
      <c r="T2155" s="57"/>
      <c r="U2155" s="57"/>
      <c r="V2155" s="57"/>
      <c r="W2155" s="57"/>
      <c r="X2155" s="57"/>
      <c r="Y2155" s="57"/>
      <c r="Z2155" s="57"/>
      <c r="AA2155" s="57"/>
      <c r="AB2155" s="57"/>
      <c r="AC2155" s="57"/>
      <c r="AD2155" s="57"/>
      <c r="AE2155" s="57"/>
      <c r="AF2155" s="57"/>
    </row>
    <row r="2156" spans="1:32" x14ac:dyDescent="0.2">
      <c r="A2156" s="57"/>
      <c r="B2156" s="57"/>
      <c r="C2156" s="57"/>
      <c r="D2156" s="57"/>
      <c r="E2156" s="57"/>
      <c r="F2156" s="985"/>
      <c r="G2156" s="57"/>
      <c r="H2156" s="57"/>
      <c r="I2156" s="990"/>
      <c r="J2156" s="57"/>
      <c r="K2156" s="57"/>
      <c r="L2156" s="57"/>
      <c r="M2156" s="57"/>
      <c r="N2156" s="57"/>
      <c r="O2156" s="57"/>
      <c r="P2156" s="57"/>
      <c r="Q2156" s="57"/>
      <c r="R2156" s="57"/>
      <c r="S2156" s="57"/>
      <c r="T2156" s="57"/>
      <c r="U2156" s="57"/>
      <c r="V2156" s="57"/>
      <c r="W2156" s="57"/>
      <c r="X2156" s="57"/>
      <c r="Y2156" s="57"/>
      <c r="Z2156" s="57"/>
      <c r="AA2156" s="57"/>
      <c r="AB2156" s="57"/>
      <c r="AC2156" s="57"/>
      <c r="AD2156" s="57"/>
      <c r="AE2156" s="57"/>
      <c r="AF2156" s="57"/>
    </row>
    <row r="2157" spans="1:32" x14ac:dyDescent="0.2">
      <c r="A2157" s="57"/>
      <c r="B2157" s="57"/>
      <c r="C2157" s="57"/>
      <c r="D2157" s="57"/>
      <c r="E2157" s="57"/>
      <c r="F2157" s="985"/>
      <c r="G2157" s="57"/>
      <c r="H2157" s="57"/>
      <c r="I2157" s="990"/>
      <c r="J2157" s="57"/>
      <c r="K2157" s="57"/>
      <c r="L2157" s="57"/>
      <c r="M2157" s="57"/>
      <c r="N2157" s="57"/>
      <c r="O2157" s="57"/>
      <c r="P2157" s="57"/>
      <c r="Q2157" s="57"/>
      <c r="R2157" s="57"/>
      <c r="S2157" s="57"/>
      <c r="T2157" s="57"/>
      <c r="U2157" s="57"/>
      <c r="V2157" s="57"/>
      <c r="W2157" s="57"/>
      <c r="X2157" s="57"/>
      <c r="Y2157" s="57"/>
      <c r="Z2157" s="57"/>
      <c r="AA2157" s="57"/>
      <c r="AB2157" s="57"/>
      <c r="AC2157" s="57"/>
      <c r="AD2157" s="57"/>
      <c r="AE2157" s="57"/>
      <c r="AF2157" s="57"/>
    </row>
    <row r="2158" spans="1:32" x14ac:dyDescent="0.2">
      <c r="A2158" s="57"/>
      <c r="B2158" s="57"/>
      <c r="C2158" s="57"/>
      <c r="D2158" s="57"/>
      <c r="E2158" s="57"/>
      <c r="F2158" s="985"/>
      <c r="G2158" s="57"/>
      <c r="H2158" s="57"/>
      <c r="I2158" s="990"/>
      <c r="J2158" s="57"/>
      <c r="K2158" s="57"/>
      <c r="L2158" s="57"/>
      <c r="M2158" s="57"/>
      <c r="N2158" s="57"/>
      <c r="O2158" s="57"/>
      <c r="P2158" s="57"/>
      <c r="Q2158" s="57"/>
      <c r="R2158" s="57"/>
      <c r="S2158" s="57"/>
      <c r="T2158" s="57"/>
      <c r="U2158" s="57"/>
      <c r="V2158" s="57"/>
      <c r="W2158" s="57"/>
      <c r="X2158" s="57"/>
      <c r="Y2158" s="57"/>
      <c r="Z2158" s="57"/>
      <c r="AA2158" s="57"/>
      <c r="AB2158" s="57"/>
      <c r="AC2158" s="57"/>
      <c r="AD2158" s="57"/>
      <c r="AE2158" s="57"/>
      <c r="AF2158" s="57"/>
    </row>
    <row r="2159" spans="1:32" x14ac:dyDescent="0.2">
      <c r="A2159" s="57"/>
      <c r="B2159" s="57"/>
      <c r="C2159" s="57"/>
      <c r="D2159" s="57"/>
      <c r="E2159" s="57"/>
      <c r="F2159" s="985"/>
      <c r="G2159" s="57"/>
      <c r="H2159" s="57"/>
      <c r="I2159" s="990"/>
      <c r="J2159" s="57"/>
      <c r="K2159" s="57"/>
      <c r="L2159" s="57"/>
      <c r="M2159" s="57"/>
      <c r="N2159" s="57"/>
      <c r="O2159" s="57"/>
      <c r="P2159" s="57"/>
      <c r="Q2159" s="57"/>
      <c r="R2159" s="57"/>
      <c r="S2159" s="57"/>
      <c r="T2159" s="57"/>
      <c r="U2159" s="57"/>
      <c r="V2159" s="57"/>
      <c r="W2159" s="57"/>
      <c r="X2159" s="57"/>
      <c r="Y2159" s="57"/>
      <c r="Z2159" s="57"/>
      <c r="AA2159" s="57"/>
      <c r="AB2159" s="57"/>
      <c r="AC2159" s="57"/>
      <c r="AD2159" s="57"/>
      <c r="AE2159" s="57"/>
      <c r="AF2159" s="57"/>
    </row>
    <row r="2160" spans="1:32" x14ac:dyDescent="0.2">
      <c r="A2160" s="57"/>
      <c r="B2160" s="57"/>
      <c r="C2160" s="57"/>
      <c r="D2160" s="57"/>
      <c r="E2160" s="57"/>
      <c r="F2160" s="985"/>
      <c r="G2160" s="57"/>
      <c r="H2160" s="57"/>
      <c r="I2160" s="990"/>
      <c r="J2160" s="57"/>
      <c r="K2160" s="57"/>
      <c r="L2160" s="57"/>
      <c r="M2160" s="57"/>
      <c r="N2160" s="57"/>
      <c r="O2160" s="57"/>
      <c r="P2160" s="57"/>
      <c r="Q2160" s="57"/>
      <c r="R2160" s="57"/>
      <c r="S2160" s="57"/>
      <c r="T2160" s="57"/>
      <c r="U2160" s="57"/>
      <c r="V2160" s="57"/>
      <c r="W2160" s="57"/>
      <c r="X2160" s="57"/>
      <c r="Y2160" s="57"/>
      <c r="Z2160" s="57"/>
      <c r="AA2160" s="57"/>
      <c r="AB2160" s="57"/>
      <c r="AC2160" s="57"/>
      <c r="AD2160" s="57"/>
      <c r="AE2160" s="57"/>
      <c r="AF2160" s="57"/>
    </row>
    <row r="2161" spans="1:32" x14ac:dyDescent="0.2">
      <c r="A2161" s="57"/>
      <c r="B2161" s="57"/>
      <c r="C2161" s="57"/>
      <c r="D2161" s="57"/>
      <c r="E2161" s="57"/>
      <c r="F2161" s="985"/>
      <c r="G2161" s="57"/>
      <c r="H2161" s="57"/>
      <c r="I2161" s="990"/>
      <c r="J2161" s="57"/>
      <c r="K2161" s="57"/>
      <c r="L2161" s="57"/>
      <c r="M2161" s="57"/>
      <c r="N2161" s="57"/>
      <c r="O2161" s="57"/>
      <c r="P2161" s="57"/>
      <c r="Q2161" s="57"/>
      <c r="R2161" s="57"/>
      <c r="S2161" s="57"/>
      <c r="T2161" s="57"/>
      <c r="U2161" s="57"/>
      <c r="V2161" s="57"/>
      <c r="W2161" s="57"/>
      <c r="X2161" s="57"/>
      <c r="Y2161" s="57"/>
      <c r="Z2161" s="57"/>
      <c r="AA2161" s="57"/>
      <c r="AB2161" s="57"/>
      <c r="AC2161" s="57"/>
      <c r="AD2161" s="57"/>
      <c r="AE2161" s="57"/>
      <c r="AF2161" s="57"/>
    </row>
    <row r="2162" spans="1:32" x14ac:dyDescent="0.2">
      <c r="A2162" s="57"/>
      <c r="B2162" s="57"/>
      <c r="C2162" s="57"/>
      <c r="D2162" s="57"/>
      <c r="E2162" s="57"/>
      <c r="F2162" s="985"/>
      <c r="G2162" s="57"/>
      <c r="H2162" s="57"/>
      <c r="I2162" s="990"/>
      <c r="J2162" s="57"/>
      <c r="K2162" s="57"/>
      <c r="L2162" s="57"/>
      <c r="M2162" s="57"/>
      <c r="N2162" s="57"/>
      <c r="O2162" s="57"/>
      <c r="P2162" s="57"/>
      <c r="Q2162" s="57"/>
      <c r="R2162" s="57"/>
      <c r="S2162" s="57"/>
      <c r="T2162" s="57"/>
      <c r="U2162" s="57"/>
      <c r="V2162" s="57"/>
      <c r="W2162" s="57"/>
      <c r="X2162" s="57"/>
      <c r="Y2162" s="57"/>
      <c r="Z2162" s="57"/>
      <c r="AA2162" s="57"/>
      <c r="AB2162" s="57"/>
      <c r="AC2162" s="57"/>
      <c r="AD2162" s="57"/>
      <c r="AE2162" s="57"/>
      <c r="AF2162" s="57"/>
    </row>
    <row r="2163" spans="1:32" x14ac:dyDescent="0.2">
      <c r="A2163" s="57"/>
      <c r="B2163" s="57"/>
      <c r="C2163" s="57"/>
      <c r="D2163" s="57"/>
      <c r="E2163" s="57"/>
      <c r="F2163" s="985"/>
      <c r="G2163" s="57"/>
      <c r="H2163" s="57"/>
      <c r="I2163" s="990"/>
      <c r="J2163" s="57"/>
      <c r="K2163" s="57"/>
      <c r="L2163" s="57"/>
      <c r="M2163" s="57"/>
      <c r="N2163" s="57"/>
      <c r="O2163" s="57"/>
      <c r="P2163" s="57"/>
      <c r="Q2163" s="57"/>
      <c r="R2163" s="57"/>
      <c r="S2163" s="57"/>
      <c r="T2163" s="57"/>
      <c r="U2163" s="57"/>
      <c r="V2163" s="57"/>
      <c r="W2163" s="57"/>
      <c r="X2163" s="57"/>
      <c r="Y2163" s="57"/>
      <c r="Z2163" s="57"/>
      <c r="AA2163" s="57"/>
      <c r="AB2163" s="57"/>
      <c r="AC2163" s="57"/>
      <c r="AD2163" s="57"/>
      <c r="AE2163" s="57"/>
      <c r="AF2163" s="57"/>
    </row>
    <row r="2164" spans="1:32" x14ac:dyDescent="0.2">
      <c r="A2164" s="57"/>
      <c r="B2164" s="57"/>
      <c r="C2164" s="57"/>
      <c r="D2164" s="57"/>
      <c r="E2164" s="57"/>
      <c r="F2164" s="985"/>
      <c r="G2164" s="57"/>
      <c r="H2164" s="57"/>
      <c r="I2164" s="990"/>
      <c r="J2164" s="57"/>
      <c r="K2164" s="57"/>
      <c r="L2164" s="57"/>
      <c r="M2164" s="57"/>
      <c r="N2164" s="57"/>
      <c r="O2164" s="57"/>
      <c r="P2164" s="57"/>
      <c r="Q2164" s="57"/>
      <c r="R2164" s="57"/>
      <c r="S2164" s="57"/>
      <c r="T2164" s="57"/>
      <c r="U2164" s="57"/>
      <c r="V2164" s="57"/>
      <c r="W2164" s="57"/>
      <c r="X2164" s="57"/>
      <c r="Y2164" s="57"/>
      <c r="Z2164" s="57"/>
      <c r="AA2164" s="57"/>
      <c r="AB2164" s="57"/>
      <c r="AC2164" s="57"/>
      <c r="AD2164" s="57"/>
      <c r="AE2164" s="57"/>
      <c r="AF2164" s="57"/>
    </row>
    <row r="2165" spans="1:32" x14ac:dyDescent="0.2">
      <c r="A2165" s="57"/>
      <c r="B2165" s="57"/>
      <c r="C2165" s="57"/>
      <c r="D2165" s="57"/>
      <c r="E2165" s="57"/>
      <c r="F2165" s="985"/>
      <c r="G2165" s="57"/>
      <c r="H2165" s="57"/>
      <c r="I2165" s="990"/>
      <c r="J2165" s="57"/>
      <c r="K2165" s="57"/>
      <c r="L2165" s="57"/>
      <c r="M2165" s="57"/>
      <c r="N2165" s="57"/>
      <c r="O2165" s="57"/>
      <c r="P2165" s="57"/>
      <c r="Q2165" s="57"/>
      <c r="R2165" s="57"/>
      <c r="S2165" s="57"/>
      <c r="T2165" s="57"/>
      <c r="U2165" s="57"/>
      <c r="V2165" s="57"/>
      <c r="W2165" s="57"/>
      <c r="X2165" s="57"/>
      <c r="Y2165" s="57"/>
      <c r="Z2165" s="57"/>
      <c r="AA2165" s="57"/>
      <c r="AB2165" s="57"/>
      <c r="AC2165" s="57"/>
      <c r="AD2165" s="57"/>
      <c r="AE2165" s="57"/>
      <c r="AF2165" s="57"/>
    </row>
    <row r="2166" spans="1:32" x14ac:dyDescent="0.2">
      <c r="A2166" s="57"/>
      <c r="B2166" s="57"/>
      <c r="C2166" s="57"/>
      <c r="D2166" s="57"/>
      <c r="E2166" s="57"/>
      <c r="F2166" s="985"/>
      <c r="G2166" s="57"/>
      <c r="H2166" s="57"/>
      <c r="I2166" s="990"/>
      <c r="J2166" s="57"/>
      <c r="K2166" s="57"/>
      <c r="L2166" s="57"/>
      <c r="M2166" s="57"/>
      <c r="N2166" s="57"/>
      <c r="O2166" s="57"/>
      <c r="P2166" s="57"/>
      <c r="Q2166" s="57"/>
      <c r="R2166" s="57"/>
      <c r="S2166" s="57"/>
      <c r="T2166" s="57"/>
      <c r="U2166" s="57"/>
      <c r="V2166" s="57"/>
      <c r="W2166" s="57"/>
      <c r="X2166" s="57"/>
      <c r="Y2166" s="57"/>
      <c r="Z2166" s="57"/>
      <c r="AA2166" s="57"/>
      <c r="AB2166" s="57"/>
      <c r="AC2166" s="57"/>
      <c r="AD2166" s="57"/>
      <c r="AE2166" s="57"/>
      <c r="AF2166" s="57"/>
    </row>
    <row r="2167" spans="1:32" x14ac:dyDescent="0.2">
      <c r="A2167" s="57"/>
      <c r="B2167" s="57"/>
      <c r="C2167" s="57"/>
      <c r="D2167" s="57"/>
      <c r="E2167" s="57"/>
      <c r="F2167" s="985"/>
      <c r="G2167" s="57"/>
      <c r="H2167" s="57"/>
      <c r="I2167" s="990"/>
      <c r="J2167" s="57"/>
      <c r="K2167" s="57"/>
      <c r="L2167" s="57"/>
      <c r="M2167" s="57"/>
      <c r="N2167" s="57"/>
      <c r="O2167" s="57"/>
      <c r="P2167" s="57"/>
      <c r="Q2167" s="57"/>
      <c r="R2167" s="57"/>
      <c r="S2167" s="57"/>
      <c r="T2167" s="57"/>
      <c r="U2167" s="57"/>
      <c r="V2167" s="57"/>
      <c r="W2167" s="57"/>
      <c r="X2167" s="57"/>
      <c r="Y2167" s="57"/>
      <c r="Z2167" s="57"/>
      <c r="AA2167" s="57"/>
      <c r="AB2167" s="57"/>
      <c r="AC2167" s="57"/>
      <c r="AD2167" s="57"/>
      <c r="AE2167" s="57"/>
      <c r="AF2167" s="57"/>
    </row>
    <row r="2168" spans="1:32" x14ac:dyDescent="0.2">
      <c r="A2168" s="57"/>
      <c r="B2168" s="57"/>
      <c r="C2168" s="57"/>
      <c r="D2168" s="57"/>
      <c r="E2168" s="57"/>
      <c r="F2168" s="985"/>
      <c r="G2168" s="57"/>
      <c r="H2168" s="57"/>
      <c r="I2168" s="990"/>
      <c r="J2168" s="57"/>
      <c r="K2168" s="57"/>
      <c r="L2168" s="57"/>
      <c r="M2168" s="57"/>
      <c r="N2168" s="57"/>
      <c r="O2168" s="57"/>
      <c r="P2168" s="57"/>
      <c r="Q2168" s="57"/>
      <c r="R2168" s="57"/>
      <c r="S2168" s="57"/>
      <c r="T2168" s="57"/>
      <c r="U2168" s="57"/>
      <c r="V2168" s="57"/>
      <c r="W2168" s="57"/>
      <c r="X2168" s="57"/>
      <c r="Y2168" s="57"/>
      <c r="Z2168" s="57"/>
      <c r="AA2168" s="57"/>
      <c r="AB2168" s="57"/>
      <c r="AC2168" s="57"/>
      <c r="AD2168" s="57"/>
      <c r="AE2168" s="57"/>
      <c r="AF2168" s="57"/>
    </row>
    <row r="2169" spans="1:32" x14ac:dyDescent="0.2">
      <c r="A2169" s="57"/>
      <c r="B2169" s="57"/>
      <c r="C2169" s="57"/>
      <c r="D2169" s="57"/>
      <c r="E2169" s="57"/>
      <c r="F2169" s="985"/>
      <c r="G2169" s="57"/>
      <c r="H2169" s="57"/>
      <c r="I2169" s="990"/>
      <c r="J2169" s="57"/>
      <c r="K2169" s="57"/>
      <c r="L2169" s="57"/>
      <c r="M2169" s="57"/>
      <c r="N2169" s="57"/>
      <c r="O2169" s="57"/>
      <c r="P2169" s="57"/>
      <c r="Q2169" s="57"/>
      <c r="R2169" s="57"/>
      <c r="S2169" s="57"/>
      <c r="T2169" s="57"/>
      <c r="U2169" s="57"/>
      <c r="V2169" s="57"/>
      <c r="W2169" s="57"/>
      <c r="X2169" s="57"/>
      <c r="Y2169" s="57"/>
      <c r="Z2169" s="57"/>
      <c r="AA2169" s="57"/>
      <c r="AB2169" s="57"/>
      <c r="AC2169" s="57"/>
      <c r="AD2169" s="57"/>
      <c r="AE2169" s="57"/>
      <c r="AF2169" s="57"/>
    </row>
    <row r="2170" spans="1:32" x14ac:dyDescent="0.2">
      <c r="A2170" s="57"/>
      <c r="B2170" s="57"/>
      <c r="C2170" s="57"/>
      <c r="D2170" s="57"/>
      <c r="E2170" s="57"/>
      <c r="F2170" s="985"/>
      <c r="G2170" s="57"/>
      <c r="H2170" s="57"/>
      <c r="I2170" s="990"/>
      <c r="J2170" s="57"/>
      <c r="K2170" s="57"/>
      <c r="L2170" s="57"/>
      <c r="M2170" s="57"/>
      <c r="N2170" s="57"/>
      <c r="O2170" s="57"/>
      <c r="P2170" s="57"/>
      <c r="Q2170" s="57"/>
      <c r="R2170" s="57"/>
      <c r="S2170" s="57"/>
      <c r="T2170" s="57"/>
      <c r="U2170" s="57"/>
      <c r="V2170" s="57"/>
      <c r="W2170" s="57"/>
      <c r="X2170" s="57"/>
      <c r="Y2170" s="57"/>
      <c r="Z2170" s="57"/>
      <c r="AA2170" s="57"/>
      <c r="AB2170" s="57"/>
      <c r="AC2170" s="57"/>
      <c r="AD2170" s="57"/>
      <c r="AE2170" s="57"/>
      <c r="AF2170" s="57"/>
    </row>
    <row r="2171" spans="1:32" x14ac:dyDescent="0.2">
      <c r="A2171" s="57"/>
      <c r="B2171" s="57"/>
      <c r="C2171" s="57"/>
      <c r="D2171" s="57"/>
      <c r="E2171" s="57"/>
      <c r="F2171" s="985"/>
      <c r="G2171" s="57"/>
      <c r="H2171" s="57"/>
      <c r="I2171" s="990"/>
      <c r="J2171" s="57"/>
      <c r="K2171" s="57"/>
      <c r="L2171" s="57"/>
      <c r="M2171" s="57"/>
      <c r="N2171" s="57"/>
      <c r="O2171" s="57"/>
      <c r="P2171" s="57"/>
      <c r="Q2171" s="57"/>
      <c r="R2171" s="57"/>
      <c r="S2171" s="57"/>
      <c r="T2171" s="57"/>
      <c r="U2171" s="57"/>
      <c r="V2171" s="57"/>
      <c r="W2171" s="57"/>
      <c r="X2171" s="57"/>
      <c r="Y2171" s="57"/>
      <c r="Z2171" s="57"/>
      <c r="AA2171" s="57"/>
      <c r="AB2171" s="57"/>
      <c r="AC2171" s="57"/>
      <c r="AD2171" s="57"/>
      <c r="AE2171" s="57"/>
      <c r="AF2171" s="57"/>
    </row>
    <row r="2172" spans="1:32" x14ac:dyDescent="0.2">
      <c r="A2172" s="57"/>
      <c r="B2172" s="57"/>
      <c r="C2172" s="57"/>
      <c r="D2172" s="57"/>
      <c r="E2172" s="57"/>
      <c r="F2172" s="985"/>
      <c r="G2172" s="57"/>
      <c r="H2172" s="57"/>
      <c r="I2172" s="990"/>
      <c r="J2172" s="57"/>
      <c r="K2172" s="57"/>
      <c r="L2172" s="57"/>
      <c r="M2172" s="57"/>
      <c r="N2172" s="57"/>
      <c r="O2172" s="57"/>
      <c r="P2172" s="57"/>
      <c r="Q2172" s="57"/>
      <c r="R2172" s="57"/>
      <c r="S2172" s="57"/>
      <c r="T2172" s="57"/>
      <c r="U2172" s="57"/>
      <c r="V2172" s="57"/>
      <c r="W2172" s="57"/>
      <c r="X2172" s="57"/>
      <c r="Y2172" s="57"/>
      <c r="Z2172" s="57"/>
      <c r="AA2172" s="57"/>
      <c r="AB2172" s="57"/>
      <c r="AC2172" s="57"/>
      <c r="AD2172" s="57"/>
      <c r="AE2172" s="57"/>
      <c r="AF2172" s="57"/>
    </row>
    <row r="2173" spans="1:32" x14ac:dyDescent="0.2">
      <c r="A2173" s="57"/>
      <c r="B2173" s="57"/>
      <c r="C2173" s="57"/>
      <c r="D2173" s="57"/>
      <c r="E2173" s="57"/>
      <c r="F2173" s="985"/>
      <c r="G2173" s="57"/>
      <c r="H2173" s="57"/>
      <c r="I2173" s="990"/>
      <c r="J2173" s="57"/>
      <c r="K2173" s="57"/>
      <c r="L2173" s="57"/>
      <c r="M2173" s="57"/>
      <c r="N2173" s="57"/>
      <c r="O2173" s="57"/>
      <c r="P2173" s="57"/>
      <c r="Q2173" s="57"/>
      <c r="R2173" s="57"/>
      <c r="S2173" s="57"/>
      <c r="T2173" s="57"/>
      <c r="U2173" s="57"/>
      <c r="V2173" s="57"/>
      <c r="W2173" s="57"/>
      <c r="X2173" s="57"/>
      <c r="Y2173" s="57"/>
      <c r="Z2173" s="57"/>
      <c r="AA2173" s="57"/>
      <c r="AB2173" s="57"/>
      <c r="AC2173" s="57"/>
      <c r="AD2173" s="57"/>
      <c r="AE2173" s="57"/>
      <c r="AF2173" s="57"/>
    </row>
    <row r="2174" spans="1:32" x14ac:dyDescent="0.2">
      <c r="A2174" s="57"/>
      <c r="B2174" s="57"/>
      <c r="C2174" s="57"/>
      <c r="D2174" s="57"/>
      <c r="E2174" s="57"/>
      <c r="F2174" s="985"/>
      <c r="G2174" s="57"/>
      <c r="H2174" s="57"/>
      <c r="I2174" s="990"/>
      <c r="J2174" s="57"/>
      <c r="K2174" s="57"/>
      <c r="L2174" s="57"/>
      <c r="M2174" s="57"/>
      <c r="N2174" s="57"/>
      <c r="O2174" s="57"/>
      <c r="P2174" s="57"/>
      <c r="Q2174" s="57"/>
      <c r="R2174" s="57"/>
      <c r="S2174" s="57"/>
      <c r="T2174" s="57"/>
      <c r="U2174" s="57"/>
      <c r="V2174" s="57"/>
      <c r="W2174" s="57"/>
      <c r="X2174" s="57"/>
      <c r="Y2174" s="57"/>
      <c r="Z2174" s="57"/>
      <c r="AA2174" s="57"/>
      <c r="AB2174" s="57"/>
      <c r="AC2174" s="57"/>
      <c r="AD2174" s="57"/>
      <c r="AE2174" s="57"/>
      <c r="AF2174" s="57"/>
    </row>
    <row r="2175" spans="1:32" x14ac:dyDescent="0.2">
      <c r="A2175" s="57"/>
      <c r="B2175" s="57"/>
      <c r="C2175" s="57"/>
      <c r="D2175" s="57"/>
      <c r="E2175" s="57"/>
      <c r="F2175" s="985"/>
      <c r="G2175" s="57"/>
      <c r="H2175" s="57"/>
      <c r="I2175" s="990"/>
      <c r="J2175" s="57"/>
      <c r="K2175" s="57"/>
      <c r="L2175" s="57"/>
      <c r="M2175" s="57"/>
      <c r="N2175" s="57"/>
      <c r="O2175" s="57"/>
      <c r="P2175" s="57"/>
      <c r="Q2175" s="57"/>
      <c r="R2175" s="57"/>
      <c r="S2175" s="57"/>
      <c r="T2175" s="57"/>
      <c r="U2175" s="57"/>
      <c r="V2175" s="57"/>
      <c r="W2175" s="57"/>
      <c r="X2175" s="57"/>
      <c r="Y2175" s="57"/>
      <c r="Z2175" s="57"/>
      <c r="AA2175" s="57"/>
      <c r="AB2175" s="57"/>
      <c r="AC2175" s="57"/>
      <c r="AD2175" s="57"/>
      <c r="AE2175" s="57"/>
      <c r="AF2175" s="57"/>
    </row>
    <row r="2176" spans="1:32" x14ac:dyDescent="0.2">
      <c r="A2176" s="57"/>
      <c r="B2176" s="57"/>
      <c r="C2176" s="57"/>
      <c r="D2176" s="57"/>
      <c r="E2176" s="57"/>
      <c r="F2176" s="985"/>
      <c r="G2176" s="57"/>
      <c r="H2176" s="57"/>
      <c r="I2176" s="990"/>
      <c r="J2176" s="57"/>
      <c r="K2176" s="57"/>
      <c r="L2176" s="57"/>
      <c r="M2176" s="57"/>
      <c r="N2176" s="57"/>
      <c r="O2176" s="57"/>
      <c r="P2176" s="57"/>
      <c r="Q2176" s="57"/>
      <c r="R2176" s="57"/>
      <c r="S2176" s="57"/>
      <c r="T2176" s="57"/>
      <c r="U2176" s="57"/>
      <c r="V2176" s="57"/>
      <c r="W2176" s="57"/>
      <c r="X2176" s="57"/>
      <c r="Y2176" s="57"/>
      <c r="Z2176" s="57"/>
      <c r="AA2176" s="57"/>
      <c r="AB2176" s="57"/>
      <c r="AC2176" s="57"/>
      <c r="AD2176" s="57"/>
      <c r="AE2176" s="57"/>
      <c r="AF2176" s="57"/>
    </row>
    <row r="2177" spans="1:32" x14ac:dyDescent="0.2">
      <c r="A2177" s="57"/>
      <c r="B2177" s="57"/>
      <c r="C2177" s="57"/>
      <c r="D2177" s="57"/>
      <c r="E2177" s="57"/>
      <c r="F2177" s="985"/>
      <c r="G2177" s="57"/>
      <c r="H2177" s="57"/>
      <c r="I2177" s="990"/>
      <c r="J2177" s="57"/>
      <c r="K2177" s="57"/>
      <c r="L2177" s="57"/>
      <c r="M2177" s="57"/>
      <c r="N2177" s="57"/>
      <c r="O2177" s="57"/>
      <c r="P2177" s="57"/>
      <c r="Q2177" s="57"/>
      <c r="R2177" s="57"/>
      <c r="S2177" s="57"/>
      <c r="T2177" s="57"/>
      <c r="U2177" s="57"/>
      <c r="V2177" s="57"/>
      <c r="W2177" s="57"/>
      <c r="X2177" s="57"/>
      <c r="Y2177" s="57"/>
      <c r="Z2177" s="57"/>
      <c r="AA2177" s="57"/>
      <c r="AB2177" s="57"/>
      <c r="AC2177" s="57"/>
      <c r="AD2177" s="57"/>
      <c r="AE2177" s="57"/>
      <c r="AF2177" s="57"/>
    </row>
    <row r="2178" spans="1:32" x14ac:dyDescent="0.2">
      <c r="A2178" s="57"/>
      <c r="B2178" s="57"/>
      <c r="C2178" s="57"/>
      <c r="D2178" s="57"/>
      <c r="E2178" s="57"/>
      <c r="F2178" s="985"/>
      <c r="G2178" s="57"/>
      <c r="H2178" s="57"/>
      <c r="I2178" s="990"/>
      <c r="J2178" s="57"/>
      <c r="K2178" s="57"/>
      <c r="L2178" s="57"/>
      <c r="M2178" s="57"/>
      <c r="N2178" s="57"/>
      <c r="O2178" s="57"/>
      <c r="P2178" s="57"/>
      <c r="Q2178" s="57"/>
      <c r="R2178" s="57"/>
      <c r="S2178" s="57"/>
      <c r="T2178" s="57"/>
      <c r="U2178" s="57"/>
      <c r="V2178" s="57"/>
      <c r="W2178" s="57"/>
      <c r="X2178" s="57"/>
      <c r="Y2178" s="57"/>
      <c r="Z2178" s="57"/>
      <c r="AA2178" s="57"/>
      <c r="AB2178" s="57"/>
      <c r="AC2178" s="57"/>
      <c r="AD2178" s="57"/>
      <c r="AE2178" s="57"/>
      <c r="AF2178" s="57"/>
    </row>
    <row r="2179" spans="1:32" x14ac:dyDescent="0.2">
      <c r="A2179" s="57"/>
      <c r="B2179" s="57"/>
      <c r="C2179" s="57"/>
      <c r="D2179" s="57"/>
      <c r="E2179" s="57"/>
      <c r="F2179" s="985"/>
      <c r="G2179" s="57"/>
      <c r="H2179" s="57"/>
      <c r="I2179" s="990"/>
      <c r="J2179" s="57"/>
      <c r="K2179" s="57"/>
      <c r="L2179" s="57"/>
      <c r="M2179" s="57"/>
      <c r="N2179" s="57"/>
      <c r="O2179" s="57"/>
      <c r="P2179" s="57"/>
      <c r="Q2179" s="57"/>
      <c r="R2179" s="57"/>
      <c r="S2179" s="57"/>
      <c r="T2179" s="57"/>
      <c r="U2179" s="57"/>
      <c r="V2179" s="57"/>
      <c r="W2179" s="57"/>
      <c r="X2179" s="57"/>
      <c r="Y2179" s="57"/>
      <c r="Z2179" s="57"/>
      <c r="AA2179" s="57"/>
      <c r="AB2179" s="57"/>
      <c r="AC2179" s="57"/>
      <c r="AD2179" s="57"/>
      <c r="AE2179" s="57"/>
      <c r="AF2179" s="57"/>
    </row>
    <row r="2180" spans="1:32" x14ac:dyDescent="0.2">
      <c r="A2180" s="57"/>
      <c r="B2180" s="57"/>
      <c r="C2180" s="57"/>
      <c r="D2180" s="57"/>
      <c r="E2180" s="57"/>
      <c r="F2180" s="985"/>
      <c r="G2180" s="57"/>
      <c r="H2180" s="57"/>
      <c r="I2180" s="990"/>
      <c r="J2180" s="57"/>
      <c r="K2180" s="57"/>
      <c r="L2180" s="57"/>
      <c r="M2180" s="57"/>
      <c r="N2180" s="57"/>
      <c r="O2180" s="57"/>
      <c r="P2180" s="57"/>
      <c r="Q2180" s="57"/>
      <c r="R2180" s="57"/>
      <c r="S2180" s="57"/>
      <c r="T2180" s="57"/>
      <c r="U2180" s="57"/>
      <c r="V2180" s="57"/>
      <c r="W2180" s="57"/>
      <c r="X2180" s="57"/>
      <c r="Y2180" s="57"/>
      <c r="Z2180" s="57"/>
      <c r="AA2180" s="57"/>
      <c r="AB2180" s="57"/>
      <c r="AC2180" s="57"/>
      <c r="AD2180" s="57"/>
      <c r="AE2180" s="57"/>
      <c r="AF2180" s="57"/>
    </row>
    <row r="2181" spans="1:32" x14ac:dyDescent="0.2">
      <c r="A2181" s="57"/>
      <c r="B2181" s="57"/>
      <c r="C2181" s="57"/>
      <c r="D2181" s="57"/>
      <c r="E2181" s="57"/>
      <c r="F2181" s="985"/>
      <c r="G2181" s="57"/>
      <c r="H2181" s="57"/>
      <c r="I2181" s="990"/>
      <c r="J2181" s="57"/>
      <c r="K2181" s="57"/>
      <c r="L2181" s="57"/>
      <c r="M2181" s="57"/>
      <c r="N2181" s="57"/>
      <c r="O2181" s="57"/>
      <c r="P2181" s="57"/>
      <c r="Q2181" s="57"/>
      <c r="R2181" s="57"/>
      <c r="S2181" s="57"/>
      <c r="T2181" s="57"/>
      <c r="U2181" s="57"/>
      <c r="V2181" s="57"/>
      <c r="W2181" s="57"/>
      <c r="X2181" s="57"/>
      <c r="Y2181" s="57"/>
      <c r="Z2181" s="57"/>
      <c r="AA2181" s="57"/>
      <c r="AB2181" s="57"/>
      <c r="AC2181" s="57"/>
      <c r="AD2181" s="57"/>
      <c r="AE2181" s="57"/>
      <c r="AF2181" s="57"/>
    </row>
    <row r="2182" spans="1:32" x14ac:dyDescent="0.2">
      <c r="A2182" s="57"/>
      <c r="B2182" s="57"/>
      <c r="C2182" s="57"/>
      <c r="D2182" s="57"/>
      <c r="E2182" s="57"/>
      <c r="F2182" s="985"/>
      <c r="G2182" s="57"/>
      <c r="H2182" s="57"/>
      <c r="I2182" s="990"/>
      <c r="J2182" s="57"/>
      <c r="K2182" s="57"/>
      <c r="L2182" s="57"/>
      <c r="M2182" s="57"/>
      <c r="N2182" s="57"/>
      <c r="O2182" s="57"/>
      <c r="P2182" s="57"/>
      <c r="Q2182" s="57"/>
      <c r="R2182" s="57"/>
      <c r="S2182" s="57"/>
      <c r="T2182" s="57"/>
      <c r="U2182" s="57"/>
      <c r="V2182" s="57"/>
      <c r="W2182" s="57"/>
      <c r="X2182" s="57"/>
      <c r="Y2182" s="57"/>
      <c r="Z2182" s="57"/>
      <c r="AA2182" s="57"/>
      <c r="AB2182" s="57"/>
      <c r="AC2182" s="57"/>
      <c r="AD2182" s="57"/>
      <c r="AE2182" s="57"/>
      <c r="AF2182" s="57"/>
    </row>
    <row r="2183" spans="1:32" x14ac:dyDescent="0.2">
      <c r="A2183" s="57"/>
      <c r="B2183" s="57"/>
      <c r="C2183" s="57"/>
      <c r="D2183" s="57"/>
      <c r="E2183" s="57"/>
      <c r="F2183" s="985"/>
      <c r="G2183" s="57"/>
      <c r="H2183" s="57"/>
      <c r="I2183" s="990"/>
      <c r="J2183" s="57"/>
      <c r="K2183" s="57"/>
      <c r="L2183" s="57"/>
      <c r="M2183" s="57"/>
      <c r="N2183" s="57"/>
      <c r="O2183" s="57"/>
      <c r="P2183" s="57"/>
      <c r="Q2183" s="57"/>
      <c r="R2183" s="57"/>
      <c r="S2183" s="57"/>
      <c r="T2183" s="57"/>
      <c r="U2183" s="57"/>
      <c r="V2183" s="57"/>
      <c r="W2183" s="57"/>
      <c r="X2183" s="57"/>
      <c r="Y2183" s="57"/>
      <c r="Z2183" s="57"/>
      <c r="AA2183" s="57"/>
      <c r="AB2183" s="57"/>
      <c r="AC2183" s="57"/>
      <c r="AD2183" s="57"/>
      <c r="AE2183" s="57"/>
      <c r="AF2183" s="57"/>
    </row>
    <row r="2184" spans="1:32" x14ac:dyDescent="0.2">
      <c r="A2184" s="57"/>
      <c r="B2184" s="57"/>
      <c r="C2184" s="57"/>
      <c r="D2184" s="57"/>
      <c r="E2184" s="57"/>
      <c r="F2184" s="985"/>
      <c r="G2184" s="57"/>
      <c r="H2184" s="57"/>
      <c r="I2184" s="990"/>
      <c r="J2184" s="57"/>
      <c r="K2184" s="57"/>
      <c r="L2184" s="57"/>
      <c r="M2184" s="57"/>
      <c r="N2184" s="57"/>
      <c r="O2184" s="57"/>
      <c r="P2184" s="57"/>
      <c r="Q2184" s="57"/>
      <c r="R2184" s="57"/>
      <c r="S2184" s="57"/>
      <c r="T2184" s="57"/>
      <c r="U2184" s="57"/>
      <c r="V2184" s="57"/>
      <c r="W2184" s="57"/>
      <c r="X2184" s="57"/>
      <c r="Y2184" s="57"/>
      <c r="Z2184" s="57"/>
      <c r="AA2184" s="57"/>
      <c r="AB2184" s="57"/>
      <c r="AC2184" s="57"/>
      <c r="AD2184" s="57"/>
      <c r="AE2184" s="57"/>
      <c r="AF2184" s="57"/>
    </row>
    <row r="2185" spans="1:32" x14ac:dyDescent="0.2">
      <c r="A2185" s="57"/>
      <c r="B2185" s="57"/>
      <c r="C2185" s="57"/>
      <c r="D2185" s="57"/>
      <c r="E2185" s="57"/>
      <c r="F2185" s="985"/>
      <c r="G2185" s="57"/>
      <c r="H2185" s="57"/>
      <c r="I2185" s="990"/>
      <c r="J2185" s="57"/>
      <c r="K2185" s="57"/>
      <c r="L2185" s="57"/>
      <c r="M2185" s="57"/>
      <c r="N2185" s="57"/>
      <c r="O2185" s="57"/>
      <c r="P2185" s="57"/>
      <c r="Q2185" s="57"/>
      <c r="R2185" s="57"/>
      <c r="S2185" s="57"/>
      <c r="T2185" s="57"/>
      <c r="U2185" s="57"/>
      <c r="V2185" s="57"/>
      <c r="W2185" s="57"/>
      <c r="X2185" s="57"/>
      <c r="Y2185" s="57"/>
      <c r="Z2185" s="57"/>
      <c r="AA2185" s="57"/>
      <c r="AB2185" s="57"/>
      <c r="AC2185" s="57"/>
      <c r="AD2185" s="57"/>
      <c r="AE2185" s="57"/>
      <c r="AF2185" s="57"/>
    </row>
    <row r="2186" spans="1:32" x14ac:dyDescent="0.2">
      <c r="A2186" s="57"/>
      <c r="B2186" s="57"/>
      <c r="C2186" s="57"/>
      <c r="D2186" s="57"/>
      <c r="E2186" s="57"/>
      <c r="F2186" s="985"/>
      <c r="G2186" s="57"/>
      <c r="H2186" s="57"/>
      <c r="I2186" s="990"/>
      <c r="J2186" s="57"/>
      <c r="K2186" s="57"/>
      <c r="L2186" s="57"/>
      <c r="M2186" s="57"/>
      <c r="N2186" s="57"/>
      <c r="O2186" s="57"/>
      <c r="P2186" s="57"/>
      <c r="Q2186" s="57"/>
      <c r="R2186" s="57"/>
      <c r="S2186" s="57"/>
      <c r="T2186" s="57"/>
      <c r="U2186" s="57"/>
      <c r="V2186" s="57"/>
      <c r="W2186" s="57"/>
      <c r="X2186" s="57"/>
      <c r="Y2186" s="57"/>
      <c r="Z2186" s="57"/>
      <c r="AA2186" s="57"/>
      <c r="AB2186" s="57"/>
      <c r="AC2186" s="57"/>
      <c r="AD2186" s="57"/>
      <c r="AE2186" s="57"/>
      <c r="AF2186" s="57"/>
    </row>
    <row r="2187" spans="1:32" x14ac:dyDescent="0.2">
      <c r="A2187" s="57"/>
      <c r="B2187" s="57"/>
      <c r="C2187" s="57"/>
      <c r="D2187" s="57"/>
      <c r="E2187" s="57"/>
      <c r="F2187" s="985"/>
      <c r="G2187" s="57"/>
      <c r="H2187" s="57"/>
      <c r="I2187" s="990"/>
      <c r="J2187" s="57"/>
      <c r="K2187" s="57"/>
      <c r="L2187" s="57"/>
      <c r="M2187" s="57"/>
      <c r="N2187" s="57"/>
      <c r="O2187" s="57"/>
      <c r="P2187" s="57"/>
      <c r="Q2187" s="57"/>
      <c r="R2187" s="57"/>
      <c r="S2187" s="57"/>
      <c r="T2187" s="57"/>
      <c r="U2187" s="57"/>
      <c r="V2187" s="57"/>
      <c r="W2187" s="57"/>
      <c r="X2187" s="57"/>
      <c r="Y2187" s="57"/>
      <c r="Z2187" s="57"/>
      <c r="AA2187" s="57"/>
      <c r="AB2187" s="57"/>
      <c r="AC2187" s="57"/>
      <c r="AD2187" s="57"/>
      <c r="AE2187" s="57"/>
      <c r="AF2187" s="57"/>
    </row>
    <row r="2188" spans="1:32" x14ac:dyDescent="0.2">
      <c r="A2188" s="57"/>
      <c r="B2188" s="57"/>
      <c r="C2188" s="57"/>
      <c r="D2188" s="57"/>
      <c r="E2188" s="57"/>
      <c r="F2188" s="985"/>
      <c r="G2188" s="57"/>
      <c r="H2188" s="57"/>
      <c r="I2188" s="990"/>
      <c r="J2188" s="57"/>
      <c r="K2188" s="57"/>
      <c r="L2188" s="57"/>
      <c r="M2188" s="57"/>
      <c r="N2188" s="57"/>
      <c r="O2188" s="57"/>
      <c r="P2188" s="57"/>
      <c r="Q2188" s="57"/>
      <c r="R2188" s="57"/>
      <c r="S2188" s="57"/>
      <c r="T2188" s="57"/>
      <c r="U2188" s="57"/>
      <c r="V2188" s="57"/>
      <c r="W2188" s="57"/>
      <c r="X2188" s="57"/>
      <c r="Y2188" s="57"/>
      <c r="Z2188" s="57"/>
      <c r="AA2188" s="57"/>
      <c r="AB2188" s="57"/>
      <c r="AC2188" s="57"/>
      <c r="AD2188" s="57"/>
      <c r="AE2188" s="57"/>
      <c r="AF2188" s="57"/>
    </row>
    <row r="2189" spans="1:32" x14ac:dyDescent="0.2">
      <c r="A2189" s="57"/>
      <c r="B2189" s="57"/>
      <c r="C2189" s="57"/>
      <c r="D2189" s="57"/>
      <c r="E2189" s="57"/>
      <c r="F2189" s="985"/>
      <c r="G2189" s="57"/>
      <c r="H2189" s="57"/>
      <c r="I2189" s="990"/>
      <c r="J2189" s="57"/>
      <c r="K2189" s="57"/>
      <c r="L2189" s="57"/>
      <c r="M2189" s="57"/>
      <c r="N2189" s="57"/>
      <c r="O2189" s="57"/>
      <c r="P2189" s="57"/>
      <c r="Q2189" s="57"/>
      <c r="R2189" s="57"/>
      <c r="S2189" s="57"/>
      <c r="T2189" s="57"/>
      <c r="U2189" s="57"/>
      <c r="V2189" s="57"/>
      <c r="W2189" s="57"/>
      <c r="X2189" s="57"/>
      <c r="Y2189" s="57"/>
      <c r="Z2189" s="57"/>
      <c r="AA2189" s="57"/>
      <c r="AB2189" s="57"/>
      <c r="AC2189" s="57"/>
      <c r="AD2189" s="57"/>
      <c r="AE2189" s="57"/>
      <c r="AF2189" s="57"/>
    </row>
    <row r="2190" spans="1:32" x14ac:dyDescent="0.2">
      <c r="A2190" s="57"/>
      <c r="B2190" s="57"/>
      <c r="C2190" s="57"/>
      <c r="D2190" s="57"/>
      <c r="E2190" s="57"/>
      <c r="F2190" s="985"/>
      <c r="G2190" s="57"/>
      <c r="H2190" s="57"/>
      <c r="I2190" s="990"/>
      <c r="J2190" s="57"/>
      <c r="K2190" s="57"/>
      <c r="L2190" s="57"/>
      <c r="M2190" s="57"/>
      <c r="N2190" s="57"/>
      <c r="O2190" s="57"/>
      <c r="P2190" s="57"/>
      <c r="Q2190" s="57"/>
      <c r="R2190" s="57"/>
      <c r="S2190" s="57"/>
      <c r="T2190" s="57"/>
      <c r="U2190" s="57"/>
      <c r="V2190" s="57"/>
      <c r="W2190" s="57"/>
      <c r="X2190" s="57"/>
      <c r="Y2190" s="57"/>
      <c r="Z2190" s="57"/>
      <c r="AA2190" s="57"/>
      <c r="AB2190" s="57"/>
      <c r="AC2190" s="57"/>
      <c r="AD2190" s="57"/>
      <c r="AE2190" s="57"/>
      <c r="AF2190" s="57"/>
    </row>
    <row r="2191" spans="1:32" x14ac:dyDescent="0.2">
      <c r="A2191" s="57"/>
      <c r="B2191" s="57"/>
      <c r="C2191" s="57"/>
      <c r="D2191" s="57"/>
      <c r="E2191" s="57"/>
      <c r="F2191" s="985"/>
      <c r="G2191" s="57"/>
      <c r="H2191" s="57"/>
      <c r="I2191" s="990"/>
      <c r="J2191" s="57"/>
      <c r="K2191" s="57"/>
      <c r="L2191" s="57"/>
      <c r="M2191" s="57"/>
      <c r="N2191" s="57"/>
      <c r="O2191" s="57"/>
      <c r="P2191" s="57"/>
      <c r="Q2191" s="57"/>
      <c r="R2191" s="57"/>
      <c r="S2191" s="57"/>
      <c r="T2191" s="57"/>
      <c r="U2191" s="57"/>
      <c r="V2191" s="57"/>
      <c r="W2191" s="57"/>
      <c r="X2191" s="57"/>
      <c r="Y2191" s="57"/>
      <c r="Z2191" s="57"/>
      <c r="AA2191" s="57"/>
      <c r="AB2191" s="57"/>
      <c r="AC2191" s="57"/>
      <c r="AD2191" s="57"/>
      <c r="AE2191" s="57"/>
      <c r="AF2191" s="57"/>
    </row>
    <row r="2192" spans="1:32" x14ac:dyDescent="0.2">
      <c r="A2192" s="57"/>
      <c r="B2192" s="57"/>
      <c r="C2192" s="57"/>
      <c r="D2192" s="57"/>
      <c r="E2192" s="57"/>
      <c r="F2192" s="985"/>
      <c r="G2192" s="57"/>
      <c r="H2192" s="57"/>
      <c r="I2192" s="990"/>
      <c r="J2192" s="57"/>
      <c r="K2192" s="57"/>
      <c r="L2192" s="57"/>
      <c r="M2192" s="57"/>
      <c r="N2192" s="57"/>
      <c r="O2192" s="57"/>
      <c r="P2192" s="57"/>
      <c r="Q2192" s="57"/>
      <c r="R2192" s="57"/>
      <c r="S2192" s="57"/>
      <c r="T2192" s="57"/>
      <c r="U2192" s="57"/>
      <c r="V2192" s="57"/>
      <c r="W2192" s="57"/>
      <c r="X2192" s="57"/>
      <c r="Y2192" s="57"/>
      <c r="Z2192" s="57"/>
      <c r="AA2192" s="57"/>
      <c r="AB2192" s="57"/>
      <c r="AC2192" s="57"/>
      <c r="AD2192" s="57"/>
      <c r="AE2192" s="57"/>
      <c r="AF2192" s="57"/>
    </row>
    <row r="2193" spans="1:32" x14ac:dyDescent="0.2">
      <c r="A2193" s="57"/>
      <c r="B2193" s="57"/>
      <c r="C2193" s="57"/>
      <c r="D2193" s="57"/>
      <c r="E2193" s="57"/>
      <c r="F2193" s="985"/>
      <c r="G2193" s="57"/>
      <c r="H2193" s="57"/>
      <c r="I2193" s="990"/>
      <c r="J2193" s="57"/>
      <c r="K2193" s="57"/>
      <c r="L2193" s="57"/>
      <c r="M2193" s="57"/>
      <c r="N2193" s="57"/>
      <c r="O2193" s="57"/>
      <c r="P2193" s="57"/>
      <c r="Q2193" s="57"/>
      <c r="R2193" s="57"/>
      <c r="S2193" s="57"/>
      <c r="T2193" s="57"/>
      <c r="U2193" s="57"/>
      <c r="V2193" s="57"/>
      <c r="W2193" s="57"/>
      <c r="X2193" s="57"/>
      <c r="Y2193" s="57"/>
      <c r="Z2193" s="57"/>
      <c r="AA2193" s="57"/>
      <c r="AB2193" s="57"/>
      <c r="AC2193" s="57"/>
      <c r="AD2193" s="57"/>
      <c r="AE2193" s="57"/>
      <c r="AF2193" s="57"/>
    </row>
    <row r="2194" spans="1:32" x14ac:dyDescent="0.2">
      <c r="A2194" s="57"/>
      <c r="B2194" s="57"/>
      <c r="C2194" s="57"/>
      <c r="D2194" s="57"/>
      <c r="E2194" s="57"/>
      <c r="F2194" s="985"/>
      <c r="G2194" s="57"/>
      <c r="H2194" s="57"/>
      <c r="I2194" s="990"/>
      <c r="J2194" s="57"/>
      <c r="K2194" s="57"/>
      <c r="L2194" s="57"/>
      <c r="M2194" s="57"/>
      <c r="N2194" s="57"/>
      <c r="O2194" s="57"/>
      <c r="P2194" s="57"/>
      <c r="Q2194" s="57"/>
      <c r="R2194" s="57"/>
      <c r="S2194" s="57"/>
      <c r="T2194" s="57"/>
      <c r="U2194" s="57"/>
      <c r="V2194" s="57"/>
      <c r="W2194" s="57"/>
      <c r="X2194" s="57"/>
      <c r="Y2194" s="57"/>
      <c r="Z2194" s="57"/>
      <c r="AA2194" s="57"/>
      <c r="AB2194" s="57"/>
      <c r="AC2194" s="57"/>
      <c r="AD2194" s="57"/>
      <c r="AE2194" s="57"/>
      <c r="AF2194" s="57"/>
    </row>
    <row r="2195" spans="1:32" x14ac:dyDescent="0.2">
      <c r="A2195" s="57"/>
      <c r="B2195" s="57"/>
      <c r="C2195" s="57"/>
      <c r="D2195" s="57"/>
      <c r="E2195" s="57"/>
      <c r="F2195" s="985"/>
      <c r="G2195" s="57"/>
      <c r="H2195" s="57"/>
      <c r="I2195" s="990"/>
      <c r="J2195" s="57"/>
      <c r="K2195" s="57"/>
      <c r="L2195" s="57"/>
      <c r="M2195" s="57"/>
      <c r="N2195" s="57"/>
      <c r="O2195" s="57"/>
      <c r="P2195" s="57"/>
      <c r="Q2195" s="57"/>
      <c r="R2195" s="57"/>
      <c r="S2195" s="57"/>
      <c r="T2195" s="57"/>
      <c r="U2195" s="57"/>
      <c r="V2195" s="57"/>
      <c r="W2195" s="57"/>
      <c r="X2195" s="57"/>
      <c r="Y2195" s="57"/>
      <c r="Z2195" s="57"/>
      <c r="AA2195" s="57"/>
      <c r="AB2195" s="57"/>
      <c r="AC2195" s="57"/>
      <c r="AD2195" s="57"/>
      <c r="AE2195" s="57"/>
      <c r="AF2195" s="57"/>
    </row>
    <row r="2196" spans="1:32" x14ac:dyDescent="0.2">
      <c r="A2196" s="57"/>
      <c r="B2196" s="57"/>
      <c r="C2196" s="57"/>
      <c r="D2196" s="57"/>
      <c r="E2196" s="57"/>
      <c r="F2196" s="985"/>
      <c r="G2196" s="57"/>
      <c r="H2196" s="57"/>
      <c r="I2196" s="990"/>
      <c r="J2196" s="57"/>
      <c r="K2196" s="57"/>
      <c r="L2196" s="57"/>
      <c r="M2196" s="57"/>
      <c r="N2196" s="57"/>
      <c r="O2196" s="57"/>
      <c r="P2196" s="57"/>
      <c r="Q2196" s="57"/>
      <c r="R2196" s="57"/>
      <c r="S2196" s="57"/>
      <c r="T2196" s="57"/>
      <c r="U2196" s="57"/>
      <c r="V2196" s="57"/>
      <c r="W2196" s="57"/>
      <c r="X2196" s="57"/>
      <c r="Y2196" s="57"/>
      <c r="Z2196" s="57"/>
      <c r="AA2196" s="57"/>
      <c r="AB2196" s="57"/>
      <c r="AC2196" s="57"/>
      <c r="AD2196" s="57"/>
      <c r="AE2196" s="57"/>
      <c r="AF2196" s="57"/>
    </row>
    <row r="2197" spans="1:32" x14ac:dyDescent="0.2">
      <c r="A2197" s="57"/>
      <c r="B2197" s="57"/>
      <c r="C2197" s="57"/>
      <c r="D2197" s="57"/>
      <c r="E2197" s="57"/>
      <c r="F2197" s="985"/>
      <c r="G2197" s="57"/>
      <c r="H2197" s="57"/>
      <c r="I2197" s="990"/>
      <c r="J2197" s="57"/>
      <c r="K2197" s="57"/>
      <c r="L2197" s="57"/>
      <c r="M2197" s="57"/>
      <c r="N2197" s="57"/>
      <c r="O2197" s="57"/>
      <c r="P2197" s="57"/>
      <c r="Q2197" s="57"/>
      <c r="R2197" s="57"/>
      <c r="S2197" s="57"/>
      <c r="T2197" s="57"/>
      <c r="U2197" s="57"/>
      <c r="V2197" s="57"/>
      <c r="W2197" s="57"/>
      <c r="X2197" s="57"/>
      <c r="Y2197" s="57"/>
      <c r="Z2197" s="57"/>
      <c r="AA2197" s="57"/>
      <c r="AB2197" s="57"/>
      <c r="AC2197" s="57"/>
      <c r="AD2197" s="57"/>
      <c r="AE2197" s="57"/>
      <c r="AF2197" s="57"/>
    </row>
    <row r="2198" spans="1:32" x14ac:dyDescent="0.2">
      <c r="A2198" s="57"/>
      <c r="B2198" s="57"/>
      <c r="C2198" s="57"/>
      <c r="D2198" s="57"/>
      <c r="E2198" s="57"/>
      <c r="F2198" s="985"/>
      <c r="G2198" s="57"/>
      <c r="H2198" s="57"/>
      <c r="I2198" s="990"/>
      <c r="J2198" s="57"/>
      <c r="K2198" s="57"/>
      <c r="L2198" s="57"/>
      <c r="M2198" s="57"/>
      <c r="N2198" s="57"/>
      <c r="O2198" s="57"/>
      <c r="P2198" s="57"/>
      <c r="Q2198" s="57"/>
      <c r="R2198" s="57"/>
      <c r="S2198" s="57"/>
      <c r="T2198" s="57"/>
      <c r="U2198" s="57"/>
      <c r="V2198" s="57"/>
      <c r="W2198" s="57"/>
      <c r="X2198" s="57"/>
      <c r="Y2198" s="57"/>
      <c r="Z2198" s="57"/>
      <c r="AA2198" s="57"/>
      <c r="AB2198" s="57"/>
      <c r="AC2198" s="57"/>
      <c r="AD2198" s="57"/>
      <c r="AE2198" s="57"/>
      <c r="AF2198" s="57"/>
    </row>
    <row r="2199" spans="1:32" x14ac:dyDescent="0.2">
      <c r="A2199" s="57"/>
      <c r="B2199" s="57"/>
      <c r="C2199" s="57"/>
      <c r="D2199" s="57"/>
      <c r="E2199" s="57"/>
      <c r="F2199" s="985"/>
      <c r="G2199" s="57"/>
      <c r="H2199" s="57"/>
      <c r="I2199" s="990"/>
      <c r="J2199" s="57"/>
      <c r="K2199" s="57"/>
      <c r="L2199" s="57"/>
      <c r="M2199" s="57"/>
      <c r="N2199" s="57"/>
      <c r="O2199" s="57"/>
      <c r="P2199" s="57"/>
      <c r="Q2199" s="57"/>
      <c r="R2199" s="57"/>
      <c r="S2199" s="57"/>
      <c r="T2199" s="57"/>
      <c r="U2199" s="57"/>
      <c r="V2199" s="57"/>
      <c r="W2199" s="57"/>
      <c r="X2199" s="57"/>
      <c r="Y2199" s="57"/>
      <c r="Z2199" s="57"/>
      <c r="AA2199" s="57"/>
      <c r="AB2199" s="57"/>
      <c r="AC2199" s="57"/>
      <c r="AD2199" s="57"/>
      <c r="AE2199" s="57"/>
      <c r="AF2199" s="57"/>
    </row>
    <row r="2200" spans="1:32" x14ac:dyDescent="0.2">
      <c r="A2200" s="57"/>
      <c r="B2200" s="57"/>
      <c r="C2200" s="57"/>
      <c r="D2200" s="57"/>
      <c r="E2200" s="57"/>
      <c r="F2200" s="985"/>
      <c r="G2200" s="57"/>
      <c r="H2200" s="57"/>
      <c r="I2200" s="990"/>
      <c r="J2200" s="57"/>
      <c r="K2200" s="57"/>
      <c r="L2200" s="57"/>
      <c r="M2200" s="57"/>
      <c r="N2200" s="57"/>
      <c r="O2200" s="57"/>
      <c r="P2200" s="57"/>
      <c r="Q2200" s="57"/>
      <c r="R2200" s="57"/>
      <c r="S2200" s="57"/>
      <c r="T2200" s="57"/>
      <c r="U2200" s="57"/>
      <c r="V2200" s="57"/>
      <c r="W2200" s="57"/>
      <c r="X2200" s="57"/>
      <c r="Y2200" s="57"/>
      <c r="Z2200" s="57"/>
      <c r="AA2200" s="57"/>
      <c r="AB2200" s="57"/>
      <c r="AC2200" s="57"/>
      <c r="AD2200" s="57"/>
      <c r="AE2200" s="57"/>
      <c r="AF2200" s="57"/>
    </row>
    <row r="2201" spans="1:32" x14ac:dyDescent="0.2">
      <c r="A2201" s="57"/>
      <c r="B2201" s="57"/>
      <c r="C2201" s="57"/>
      <c r="D2201" s="57"/>
      <c r="E2201" s="57"/>
      <c r="F2201" s="985"/>
      <c r="G2201" s="57"/>
      <c r="H2201" s="57"/>
      <c r="I2201" s="990"/>
      <c r="J2201" s="57"/>
      <c r="K2201" s="57"/>
      <c r="L2201" s="57"/>
      <c r="M2201" s="57"/>
      <c r="N2201" s="57"/>
      <c r="O2201" s="57"/>
      <c r="P2201" s="57"/>
      <c r="Q2201" s="57"/>
      <c r="R2201" s="57"/>
      <c r="S2201" s="57"/>
      <c r="T2201" s="57"/>
      <c r="U2201" s="57"/>
      <c r="V2201" s="57"/>
      <c r="W2201" s="57"/>
      <c r="X2201" s="57"/>
      <c r="Y2201" s="57"/>
      <c r="Z2201" s="57"/>
      <c r="AA2201" s="57"/>
      <c r="AB2201" s="57"/>
      <c r="AC2201" s="57"/>
      <c r="AD2201" s="57"/>
      <c r="AE2201" s="57"/>
      <c r="AF2201" s="57"/>
    </row>
    <row r="2202" spans="1:32" x14ac:dyDescent="0.2">
      <c r="A2202" s="57"/>
      <c r="B2202" s="57"/>
      <c r="C2202" s="57"/>
      <c r="D2202" s="57"/>
      <c r="E2202" s="57"/>
      <c r="F2202" s="985"/>
      <c r="G2202" s="57"/>
      <c r="H2202" s="57"/>
      <c r="I2202" s="990"/>
      <c r="J2202" s="57"/>
      <c r="K2202" s="57"/>
      <c r="L2202" s="57"/>
      <c r="M2202" s="57"/>
      <c r="N2202" s="57"/>
      <c r="O2202" s="57"/>
      <c r="P2202" s="57"/>
      <c r="Q2202" s="57"/>
      <c r="R2202" s="57"/>
      <c r="S2202" s="57"/>
      <c r="T2202" s="57"/>
      <c r="U2202" s="57"/>
      <c r="V2202" s="57"/>
      <c r="W2202" s="57"/>
      <c r="X2202" s="57"/>
      <c r="Y2202" s="57"/>
      <c r="Z2202" s="57"/>
      <c r="AA2202" s="57"/>
      <c r="AB2202" s="57"/>
      <c r="AC2202" s="57"/>
      <c r="AD2202" s="57"/>
      <c r="AE2202" s="57"/>
      <c r="AF2202" s="57"/>
    </row>
    <row r="2203" spans="1:32" x14ac:dyDescent="0.2">
      <c r="A2203" s="57"/>
      <c r="B2203" s="57"/>
      <c r="C2203" s="57"/>
      <c r="D2203" s="57"/>
      <c r="E2203" s="57"/>
      <c r="F2203" s="985"/>
      <c r="G2203" s="57"/>
      <c r="H2203" s="57"/>
      <c r="I2203" s="990"/>
      <c r="J2203" s="57"/>
      <c r="K2203" s="57"/>
      <c r="L2203" s="57"/>
      <c r="M2203" s="57"/>
      <c r="N2203" s="57"/>
      <c r="O2203" s="57"/>
      <c r="P2203" s="57"/>
      <c r="Q2203" s="57"/>
      <c r="R2203" s="57"/>
      <c r="S2203" s="57"/>
      <c r="T2203" s="57"/>
      <c r="U2203" s="57"/>
      <c r="V2203" s="57"/>
      <c r="W2203" s="57"/>
      <c r="X2203" s="57"/>
      <c r="Y2203" s="57"/>
      <c r="Z2203" s="57"/>
      <c r="AA2203" s="57"/>
      <c r="AB2203" s="57"/>
      <c r="AC2203" s="57"/>
      <c r="AD2203" s="57"/>
      <c r="AE2203" s="57"/>
      <c r="AF2203" s="57"/>
    </row>
    <row r="2204" spans="1:32" x14ac:dyDescent="0.2">
      <c r="A2204" s="57"/>
      <c r="B2204" s="57"/>
      <c r="C2204" s="57"/>
      <c r="D2204" s="57"/>
      <c r="E2204" s="57"/>
      <c r="F2204" s="985"/>
      <c r="G2204" s="57"/>
      <c r="H2204" s="57"/>
      <c r="I2204" s="990"/>
      <c r="J2204" s="57"/>
      <c r="K2204" s="57"/>
      <c r="L2204" s="57"/>
      <c r="M2204" s="57"/>
      <c r="N2204" s="57"/>
      <c r="O2204" s="57"/>
      <c r="P2204" s="57"/>
      <c r="Q2204" s="57"/>
      <c r="R2204" s="57"/>
      <c r="S2204" s="57"/>
      <c r="T2204" s="57"/>
      <c r="U2204" s="57"/>
      <c r="V2204" s="57"/>
      <c r="W2204" s="57"/>
      <c r="X2204" s="57"/>
      <c r="Y2204" s="57"/>
      <c r="Z2204" s="57"/>
      <c r="AA2204" s="57"/>
      <c r="AB2204" s="57"/>
      <c r="AC2204" s="57"/>
      <c r="AD2204" s="57"/>
      <c r="AE2204" s="57"/>
      <c r="AF2204" s="57"/>
    </row>
    <row r="2205" spans="1:32" x14ac:dyDescent="0.2">
      <c r="A2205" s="57"/>
      <c r="B2205" s="57"/>
      <c r="C2205" s="57"/>
      <c r="D2205" s="57"/>
      <c r="E2205" s="57"/>
      <c r="F2205" s="985"/>
      <c r="G2205" s="57"/>
      <c r="H2205" s="57"/>
      <c r="I2205" s="990"/>
      <c r="J2205" s="57"/>
      <c r="K2205" s="57"/>
      <c r="L2205" s="57"/>
      <c r="M2205" s="57"/>
      <c r="N2205" s="57"/>
      <c r="O2205" s="57"/>
      <c r="P2205" s="57"/>
      <c r="Q2205" s="57"/>
      <c r="R2205" s="57"/>
      <c r="S2205" s="57"/>
      <c r="T2205" s="57"/>
      <c r="U2205" s="57"/>
      <c r="V2205" s="57"/>
      <c r="W2205" s="57"/>
      <c r="X2205" s="57"/>
      <c r="Y2205" s="57"/>
      <c r="Z2205" s="57"/>
      <c r="AA2205" s="57"/>
      <c r="AB2205" s="57"/>
      <c r="AC2205" s="57"/>
      <c r="AD2205" s="57"/>
      <c r="AE2205" s="57"/>
      <c r="AF2205" s="57"/>
    </row>
    <row r="2206" spans="1:32" x14ac:dyDescent="0.2">
      <c r="A2206" s="57"/>
      <c r="B2206" s="57"/>
      <c r="C2206" s="57"/>
      <c r="D2206" s="57"/>
      <c r="E2206" s="57"/>
      <c r="F2206" s="985"/>
      <c r="G2206" s="57"/>
      <c r="H2206" s="57"/>
      <c r="I2206" s="990"/>
      <c r="J2206" s="57"/>
      <c r="K2206" s="57"/>
      <c r="L2206" s="57"/>
      <c r="M2206" s="57"/>
      <c r="N2206" s="57"/>
      <c r="O2206" s="57"/>
      <c r="P2206" s="57"/>
      <c r="Q2206" s="57"/>
      <c r="R2206" s="57"/>
      <c r="S2206" s="57"/>
      <c r="T2206" s="57"/>
      <c r="U2206" s="57"/>
      <c r="V2206" s="57"/>
      <c r="W2206" s="57"/>
      <c r="X2206" s="57"/>
      <c r="Y2206" s="57"/>
      <c r="Z2206" s="57"/>
      <c r="AA2206" s="57"/>
      <c r="AB2206" s="57"/>
      <c r="AC2206" s="57"/>
      <c r="AD2206" s="57"/>
      <c r="AE2206" s="57"/>
      <c r="AF2206" s="57"/>
    </row>
    <row r="2207" spans="1:32" x14ac:dyDescent="0.2">
      <c r="A2207" s="57"/>
      <c r="B2207" s="57"/>
      <c r="C2207" s="57"/>
      <c r="D2207" s="57"/>
      <c r="E2207" s="57"/>
      <c r="F2207" s="985"/>
      <c r="G2207" s="57"/>
      <c r="H2207" s="57"/>
      <c r="I2207" s="990"/>
      <c r="J2207" s="57"/>
      <c r="K2207" s="57"/>
      <c r="L2207" s="57"/>
      <c r="M2207" s="57"/>
      <c r="N2207" s="57"/>
      <c r="O2207" s="57"/>
      <c r="P2207" s="57"/>
      <c r="Q2207" s="57"/>
      <c r="R2207" s="57"/>
      <c r="S2207" s="57"/>
      <c r="T2207" s="57"/>
      <c r="U2207" s="57"/>
      <c r="V2207" s="57"/>
      <c r="W2207" s="57"/>
      <c r="X2207" s="57"/>
      <c r="Y2207" s="57"/>
      <c r="Z2207" s="57"/>
      <c r="AA2207" s="57"/>
      <c r="AB2207" s="57"/>
      <c r="AC2207" s="57"/>
      <c r="AD2207" s="57"/>
      <c r="AE2207" s="57"/>
      <c r="AF2207" s="57"/>
    </row>
    <row r="2208" spans="1:32" x14ac:dyDescent="0.2">
      <c r="A2208" s="57"/>
      <c r="B2208" s="57"/>
      <c r="C2208" s="57"/>
      <c r="D2208" s="57"/>
      <c r="E2208" s="57"/>
      <c r="F2208" s="985"/>
      <c r="G2208" s="57"/>
      <c r="H2208" s="57"/>
      <c r="I2208" s="990"/>
      <c r="J2208" s="57"/>
      <c r="K2208" s="57"/>
      <c r="L2208" s="57"/>
      <c r="M2208" s="57"/>
      <c r="N2208" s="57"/>
      <c r="O2208" s="57"/>
      <c r="P2208" s="57"/>
      <c r="Q2208" s="57"/>
      <c r="R2208" s="57"/>
      <c r="S2208" s="57"/>
      <c r="T2208" s="57"/>
      <c r="U2208" s="57"/>
      <c r="V2208" s="57"/>
      <c r="W2208" s="57"/>
      <c r="X2208" s="57"/>
      <c r="Y2208" s="57"/>
      <c r="Z2208" s="57"/>
      <c r="AA2208" s="57"/>
      <c r="AB2208" s="57"/>
      <c r="AC2208" s="57"/>
      <c r="AD2208" s="57"/>
      <c r="AE2208" s="57"/>
      <c r="AF2208" s="57"/>
    </row>
    <row r="2209" spans="1:32" x14ac:dyDescent="0.2">
      <c r="A2209" s="57"/>
      <c r="B2209" s="57"/>
      <c r="C2209" s="57"/>
      <c r="D2209" s="57"/>
      <c r="E2209" s="57"/>
      <c r="F2209" s="985"/>
      <c r="G2209" s="57"/>
      <c r="H2209" s="57"/>
      <c r="I2209" s="990"/>
      <c r="J2209" s="57"/>
      <c r="K2209" s="57"/>
      <c r="L2209" s="57"/>
      <c r="M2209" s="57"/>
      <c r="N2209" s="57"/>
      <c r="O2209" s="57"/>
      <c r="P2209" s="57"/>
      <c r="Q2209" s="57"/>
      <c r="R2209" s="57"/>
      <c r="S2209" s="57"/>
      <c r="T2209" s="57"/>
      <c r="U2209" s="57"/>
      <c r="V2209" s="57"/>
      <c r="W2209" s="57"/>
      <c r="X2209" s="57"/>
      <c r="Y2209" s="57"/>
      <c r="Z2209" s="57"/>
      <c r="AA2209" s="57"/>
      <c r="AB2209" s="57"/>
      <c r="AC2209" s="57"/>
      <c r="AD2209" s="57"/>
      <c r="AE2209" s="57"/>
      <c r="AF2209" s="57"/>
    </row>
    <row r="2210" spans="1:32" x14ac:dyDescent="0.2">
      <c r="A2210" s="57"/>
      <c r="B2210" s="57"/>
      <c r="C2210" s="57"/>
      <c r="D2210" s="57"/>
      <c r="E2210" s="57"/>
      <c r="F2210" s="985"/>
      <c r="G2210" s="57"/>
      <c r="H2210" s="57"/>
      <c r="I2210" s="990"/>
      <c r="J2210" s="57"/>
      <c r="K2210" s="57"/>
      <c r="L2210" s="57"/>
      <c r="M2210" s="57"/>
      <c r="N2210" s="57"/>
      <c r="O2210" s="57"/>
      <c r="P2210" s="57"/>
      <c r="Q2210" s="57"/>
      <c r="R2210" s="57"/>
      <c r="S2210" s="57"/>
      <c r="T2210" s="57"/>
      <c r="U2210" s="57"/>
      <c r="V2210" s="57"/>
      <c r="W2210" s="57"/>
      <c r="X2210" s="57"/>
      <c r="Y2210" s="57"/>
      <c r="Z2210" s="57"/>
      <c r="AA2210" s="57"/>
      <c r="AB2210" s="57"/>
      <c r="AC2210" s="57"/>
      <c r="AD2210" s="57"/>
      <c r="AE2210" s="57"/>
      <c r="AF2210" s="57"/>
    </row>
    <row r="2211" spans="1:32" x14ac:dyDescent="0.2">
      <c r="A2211" s="57"/>
      <c r="B2211" s="57"/>
      <c r="C2211" s="57"/>
      <c r="D2211" s="57"/>
      <c r="E2211" s="57"/>
      <c r="F2211" s="985"/>
      <c r="G2211" s="57"/>
      <c r="H2211" s="57"/>
      <c r="I2211" s="990"/>
      <c r="J2211" s="57"/>
      <c r="K2211" s="57"/>
      <c r="L2211" s="57"/>
      <c r="M2211" s="57"/>
      <c r="N2211" s="57"/>
      <c r="O2211" s="57"/>
      <c r="P2211" s="57"/>
      <c r="Q2211" s="57"/>
      <c r="R2211" s="57"/>
      <c r="S2211" s="57"/>
      <c r="T2211" s="57"/>
      <c r="U2211" s="57"/>
      <c r="V2211" s="57"/>
      <c r="W2211" s="57"/>
      <c r="X2211" s="57"/>
      <c r="Y2211" s="57"/>
      <c r="Z2211" s="57"/>
      <c r="AA2211" s="57"/>
      <c r="AB2211" s="57"/>
      <c r="AC2211" s="57"/>
      <c r="AD2211" s="57"/>
      <c r="AE2211" s="57"/>
      <c r="AF2211" s="57"/>
    </row>
    <row r="2212" spans="1:32" x14ac:dyDescent="0.2">
      <c r="A2212" s="57"/>
      <c r="B2212" s="57"/>
      <c r="C2212" s="57"/>
      <c r="D2212" s="57"/>
      <c r="E2212" s="57"/>
      <c r="F2212" s="985"/>
      <c r="G2212" s="57"/>
      <c r="H2212" s="57"/>
      <c r="I2212" s="990"/>
      <c r="J2212" s="57"/>
      <c r="K2212" s="57"/>
      <c r="L2212" s="57"/>
      <c r="M2212" s="57"/>
      <c r="N2212" s="57"/>
      <c r="O2212" s="57"/>
      <c r="P2212" s="57"/>
      <c r="Q2212" s="57"/>
      <c r="R2212" s="57"/>
      <c r="S2212" s="57"/>
      <c r="T2212" s="57"/>
      <c r="U2212" s="57"/>
      <c r="V2212" s="57"/>
      <c r="W2212" s="57"/>
      <c r="X2212" s="57"/>
      <c r="Y2212" s="57"/>
      <c r="Z2212" s="57"/>
      <c r="AA2212" s="57"/>
      <c r="AB2212" s="57"/>
      <c r="AC2212" s="57"/>
      <c r="AD2212" s="57"/>
      <c r="AE2212" s="57"/>
      <c r="AF2212" s="57"/>
    </row>
    <row r="2213" spans="1:32" x14ac:dyDescent="0.2">
      <c r="A2213" s="57"/>
      <c r="B2213" s="57"/>
      <c r="C2213" s="57"/>
      <c r="D2213" s="57"/>
      <c r="E2213" s="57"/>
      <c r="F2213" s="985"/>
      <c r="G2213" s="57"/>
      <c r="H2213" s="57"/>
      <c r="I2213" s="990"/>
      <c r="J2213" s="57"/>
      <c r="K2213" s="57"/>
      <c r="L2213" s="57"/>
      <c r="M2213" s="57"/>
      <c r="N2213" s="57"/>
      <c r="O2213" s="57"/>
      <c r="P2213" s="57"/>
      <c r="Q2213" s="57"/>
      <c r="R2213" s="57"/>
      <c r="S2213" s="57"/>
      <c r="T2213" s="57"/>
      <c r="U2213" s="57"/>
      <c r="V2213" s="57"/>
      <c r="W2213" s="57"/>
      <c r="X2213" s="57"/>
      <c r="Y2213" s="57"/>
      <c r="Z2213" s="57"/>
      <c r="AA2213" s="57"/>
      <c r="AB2213" s="57"/>
      <c r="AC2213" s="57"/>
      <c r="AD2213" s="57"/>
      <c r="AE2213" s="57"/>
      <c r="AF2213" s="57"/>
    </row>
    <row r="2214" spans="1:32" x14ac:dyDescent="0.2">
      <c r="A2214" s="57"/>
      <c r="B2214" s="57"/>
      <c r="C2214" s="57"/>
      <c r="D2214" s="57"/>
      <c r="E2214" s="57"/>
      <c r="F2214" s="985"/>
      <c r="G2214" s="57"/>
      <c r="H2214" s="57"/>
      <c r="I2214" s="990"/>
      <c r="J2214" s="57"/>
      <c r="K2214" s="57"/>
      <c r="L2214" s="57"/>
      <c r="M2214" s="57"/>
      <c r="N2214" s="57"/>
      <c r="O2214" s="57"/>
      <c r="P2214" s="57"/>
      <c r="Q2214" s="57"/>
      <c r="R2214" s="57"/>
      <c r="S2214" s="57"/>
      <c r="T2214" s="57"/>
      <c r="U2214" s="57"/>
      <c r="V2214" s="57"/>
      <c r="W2214" s="57"/>
      <c r="X2214" s="57"/>
      <c r="Y2214" s="57"/>
      <c r="Z2214" s="57"/>
      <c r="AA2214" s="57"/>
      <c r="AB2214" s="57"/>
      <c r="AC2214" s="57"/>
      <c r="AD2214" s="57"/>
      <c r="AE2214" s="57"/>
      <c r="AF2214" s="57"/>
    </row>
    <row r="2215" spans="1:32" x14ac:dyDescent="0.2">
      <c r="A2215" s="57"/>
      <c r="B2215" s="57"/>
      <c r="C2215" s="57"/>
      <c r="D2215" s="57"/>
      <c r="E2215" s="57"/>
      <c r="F2215" s="985"/>
      <c r="G2215" s="57"/>
      <c r="H2215" s="57"/>
      <c r="I2215" s="990"/>
      <c r="J2215" s="57"/>
      <c r="K2215" s="57"/>
      <c r="L2215" s="57"/>
      <c r="M2215" s="57"/>
      <c r="N2215" s="57"/>
      <c r="O2215" s="57"/>
      <c r="P2215" s="57"/>
      <c r="Q2215" s="57"/>
      <c r="R2215" s="57"/>
      <c r="S2215" s="57"/>
      <c r="T2215" s="57"/>
      <c r="U2215" s="57"/>
      <c r="V2215" s="57"/>
      <c r="W2215" s="57"/>
      <c r="X2215" s="57"/>
      <c r="Y2215" s="57"/>
      <c r="Z2215" s="57"/>
      <c r="AA2215" s="57"/>
      <c r="AB2215" s="57"/>
      <c r="AC2215" s="57"/>
      <c r="AD2215" s="57"/>
      <c r="AE2215" s="57"/>
      <c r="AF2215" s="57"/>
    </row>
    <row r="2216" spans="1:32" x14ac:dyDescent="0.2">
      <c r="A2216" s="57"/>
      <c r="B2216" s="57"/>
      <c r="C2216" s="57"/>
      <c r="D2216" s="57"/>
      <c r="E2216" s="57"/>
      <c r="F2216" s="985"/>
      <c r="G2216" s="57"/>
      <c r="H2216" s="57"/>
      <c r="I2216" s="990"/>
      <c r="J2216" s="57"/>
      <c r="K2216" s="57"/>
      <c r="L2216" s="57"/>
      <c r="M2216" s="57"/>
      <c r="N2216" s="57"/>
      <c r="O2216" s="57"/>
      <c r="P2216" s="57"/>
      <c r="Q2216" s="57"/>
      <c r="R2216" s="57"/>
      <c r="S2216" s="57"/>
      <c r="T2216" s="57"/>
      <c r="U2216" s="57"/>
      <c r="V2216" s="57"/>
      <c r="W2216" s="57"/>
      <c r="X2216" s="57"/>
      <c r="Y2216" s="57"/>
      <c r="Z2216" s="57"/>
      <c r="AA2216" s="57"/>
      <c r="AB2216" s="57"/>
      <c r="AC2216" s="57"/>
      <c r="AD2216" s="57"/>
      <c r="AE2216" s="57"/>
      <c r="AF2216" s="57"/>
    </row>
    <row r="2217" spans="1:32" x14ac:dyDescent="0.2">
      <c r="A2217" s="57"/>
      <c r="B2217" s="57"/>
      <c r="C2217" s="57"/>
      <c r="D2217" s="57"/>
      <c r="E2217" s="57"/>
      <c r="F2217" s="985"/>
      <c r="G2217" s="57"/>
      <c r="H2217" s="57"/>
      <c r="I2217" s="990"/>
      <c r="J2217" s="57"/>
      <c r="K2217" s="57"/>
      <c r="L2217" s="57"/>
      <c r="M2217" s="57"/>
      <c r="N2217" s="57"/>
      <c r="O2217" s="57"/>
      <c r="P2217" s="57"/>
      <c r="Q2217" s="57"/>
      <c r="R2217" s="57"/>
      <c r="S2217" s="57"/>
      <c r="T2217" s="57"/>
      <c r="U2217" s="57"/>
      <c r="V2217" s="57"/>
      <c r="W2217" s="57"/>
      <c r="X2217" s="57"/>
      <c r="Y2217" s="57"/>
      <c r="Z2217" s="57"/>
      <c r="AA2217" s="57"/>
      <c r="AB2217" s="57"/>
      <c r="AC2217" s="57"/>
      <c r="AD2217" s="57"/>
      <c r="AE2217" s="57"/>
      <c r="AF2217" s="57"/>
    </row>
    <row r="2218" spans="1:32" x14ac:dyDescent="0.2">
      <c r="A2218" s="57"/>
      <c r="B2218" s="57"/>
      <c r="C2218" s="57"/>
      <c r="D2218" s="57"/>
      <c r="E2218" s="57"/>
      <c r="F2218" s="985"/>
      <c r="G2218" s="57"/>
      <c r="H2218" s="57"/>
      <c r="I2218" s="990"/>
      <c r="J2218" s="57"/>
      <c r="K2218" s="57"/>
      <c r="L2218" s="57"/>
      <c r="M2218" s="57"/>
      <c r="N2218" s="57"/>
      <c r="O2218" s="57"/>
      <c r="P2218" s="57"/>
      <c r="Q2218" s="57"/>
      <c r="R2218" s="57"/>
      <c r="S2218" s="57"/>
      <c r="T2218" s="57"/>
      <c r="U2218" s="57"/>
      <c r="V2218" s="57"/>
      <c r="W2218" s="57"/>
      <c r="X2218" s="57"/>
      <c r="Y2218" s="57"/>
      <c r="Z2218" s="57"/>
      <c r="AA2218" s="57"/>
      <c r="AB2218" s="57"/>
      <c r="AC2218" s="57"/>
      <c r="AD2218" s="57"/>
      <c r="AE2218" s="57"/>
      <c r="AF2218" s="57"/>
    </row>
    <row r="2219" spans="1:32" x14ac:dyDescent="0.2">
      <c r="A2219" s="57"/>
      <c r="B2219" s="57"/>
      <c r="C2219" s="57"/>
      <c r="D2219" s="57"/>
      <c r="E2219" s="57"/>
      <c r="F2219" s="985"/>
      <c r="G2219" s="57"/>
      <c r="H2219" s="57"/>
      <c r="I2219" s="990"/>
      <c r="J2219" s="57"/>
      <c r="K2219" s="57"/>
      <c r="L2219" s="57"/>
      <c r="M2219" s="57"/>
      <c r="N2219" s="57"/>
      <c r="O2219" s="57"/>
      <c r="P2219" s="57"/>
      <c r="Q2219" s="57"/>
      <c r="R2219" s="57"/>
      <c r="S2219" s="57"/>
      <c r="T2219" s="57"/>
      <c r="U2219" s="57"/>
      <c r="V2219" s="57"/>
      <c r="W2219" s="57"/>
      <c r="X2219" s="57"/>
      <c r="Y2219" s="57"/>
      <c r="Z2219" s="57"/>
      <c r="AA2219" s="57"/>
      <c r="AB2219" s="57"/>
      <c r="AC2219" s="57"/>
      <c r="AD2219" s="57"/>
      <c r="AE2219" s="57"/>
      <c r="AF2219" s="57"/>
    </row>
    <row r="2220" spans="1:32" x14ac:dyDescent="0.2">
      <c r="A2220" s="57"/>
      <c r="B2220" s="57"/>
      <c r="C2220" s="57"/>
      <c r="D2220" s="57"/>
      <c r="E2220" s="57"/>
      <c r="F2220" s="985"/>
      <c r="G2220" s="57"/>
      <c r="H2220" s="57"/>
      <c r="I2220" s="990"/>
      <c r="J2220" s="57"/>
      <c r="K2220" s="57"/>
      <c r="L2220" s="57"/>
      <c r="M2220" s="57"/>
      <c r="N2220" s="57"/>
      <c r="O2220" s="57"/>
      <c r="P2220" s="57"/>
      <c r="Q2220" s="57"/>
      <c r="R2220" s="57"/>
      <c r="S2220" s="57"/>
      <c r="T2220" s="57"/>
      <c r="U2220" s="57"/>
      <c r="V2220" s="57"/>
      <c r="W2220" s="57"/>
      <c r="X2220" s="57"/>
      <c r="Y2220" s="57"/>
      <c r="Z2220" s="57"/>
      <c r="AA2220" s="57"/>
      <c r="AB2220" s="57"/>
      <c r="AC2220" s="57"/>
      <c r="AD2220" s="57"/>
      <c r="AE2220" s="57"/>
      <c r="AF2220" s="57"/>
    </row>
    <row r="2221" spans="1:32" x14ac:dyDescent="0.2">
      <c r="A2221" s="57"/>
      <c r="B2221" s="57"/>
      <c r="C2221" s="57"/>
      <c r="D2221" s="57"/>
      <c r="E2221" s="57"/>
      <c r="F2221" s="985"/>
      <c r="G2221" s="57"/>
      <c r="H2221" s="57"/>
      <c r="I2221" s="990"/>
      <c r="J2221" s="57"/>
      <c r="K2221" s="57"/>
      <c r="L2221" s="57"/>
      <c r="M2221" s="57"/>
      <c r="N2221" s="57"/>
      <c r="O2221" s="57"/>
      <c r="P2221" s="57"/>
      <c r="Q2221" s="57"/>
      <c r="R2221" s="57"/>
      <c r="S2221" s="57"/>
      <c r="T2221" s="57"/>
      <c r="U2221" s="57"/>
      <c r="V2221" s="57"/>
      <c r="W2221" s="57"/>
      <c r="X2221" s="57"/>
      <c r="Y2221" s="57"/>
      <c r="Z2221" s="57"/>
      <c r="AA2221" s="57"/>
      <c r="AB2221" s="57"/>
      <c r="AC2221" s="57"/>
      <c r="AD2221" s="57"/>
      <c r="AE2221" s="57"/>
      <c r="AF2221" s="57"/>
    </row>
    <row r="2222" spans="1:32" x14ac:dyDescent="0.2">
      <c r="A2222" s="57"/>
      <c r="B2222" s="57"/>
      <c r="C2222" s="57"/>
      <c r="D2222" s="57"/>
      <c r="E2222" s="57"/>
      <c r="F2222" s="985"/>
      <c r="G2222" s="57"/>
      <c r="H2222" s="57"/>
      <c r="I2222" s="990"/>
      <c r="J2222" s="57"/>
      <c r="K2222" s="57"/>
      <c r="L2222" s="57"/>
      <c r="M2222" s="57"/>
      <c r="N2222" s="57"/>
      <c r="O2222" s="57"/>
      <c r="P2222" s="57"/>
      <c r="Q2222" s="57"/>
      <c r="R2222" s="57"/>
      <c r="S2222" s="57"/>
      <c r="T2222" s="57"/>
      <c r="U2222" s="57"/>
      <c r="V2222" s="57"/>
      <c r="W2222" s="57"/>
      <c r="X2222" s="57"/>
      <c r="Y2222" s="57"/>
      <c r="Z2222" s="57"/>
      <c r="AA2222" s="57"/>
      <c r="AB2222" s="57"/>
      <c r="AC2222" s="57"/>
      <c r="AD2222" s="57"/>
      <c r="AE2222" s="57"/>
      <c r="AF2222" s="57"/>
    </row>
    <row r="2223" spans="1:32" x14ac:dyDescent="0.2">
      <c r="A2223" s="57"/>
      <c r="B2223" s="57"/>
      <c r="C2223" s="57"/>
      <c r="D2223" s="57"/>
      <c r="E2223" s="57"/>
      <c r="F2223" s="985"/>
      <c r="G2223" s="57"/>
      <c r="H2223" s="57"/>
      <c r="I2223" s="990"/>
      <c r="J2223" s="57"/>
      <c r="K2223" s="57"/>
      <c r="L2223" s="57"/>
      <c r="M2223" s="57"/>
      <c r="N2223" s="57"/>
      <c r="O2223" s="57"/>
      <c r="P2223" s="57"/>
      <c r="Q2223" s="57"/>
      <c r="R2223" s="57"/>
      <c r="S2223" s="57"/>
      <c r="T2223" s="57"/>
      <c r="U2223" s="57"/>
      <c r="V2223" s="57"/>
      <c r="W2223" s="57"/>
      <c r="X2223" s="57"/>
      <c r="Y2223" s="57"/>
      <c r="Z2223" s="57"/>
      <c r="AA2223" s="57"/>
      <c r="AB2223" s="57"/>
      <c r="AC2223" s="57"/>
      <c r="AD2223" s="57"/>
      <c r="AE2223" s="57"/>
      <c r="AF2223" s="57"/>
    </row>
    <row r="2224" spans="1:32" x14ac:dyDescent="0.2">
      <c r="A2224" s="57"/>
      <c r="B2224" s="57"/>
      <c r="C2224" s="57"/>
      <c r="D2224" s="57"/>
      <c r="E2224" s="57"/>
      <c r="F2224" s="985"/>
      <c r="G2224" s="57"/>
      <c r="H2224" s="57"/>
      <c r="I2224" s="990"/>
      <c r="J2224" s="57"/>
      <c r="K2224" s="57"/>
      <c r="L2224" s="57"/>
      <c r="M2224" s="57"/>
      <c r="N2224" s="57"/>
      <c r="O2224" s="57"/>
      <c r="P2224" s="57"/>
      <c r="Q2224" s="57"/>
      <c r="R2224" s="57"/>
      <c r="S2224" s="57"/>
      <c r="T2224" s="57"/>
      <c r="U2224" s="57"/>
      <c r="V2224" s="57"/>
      <c r="W2224" s="57"/>
      <c r="X2224" s="57"/>
      <c r="Y2224" s="57"/>
      <c r="Z2224" s="57"/>
      <c r="AA2224" s="57"/>
      <c r="AB2224" s="57"/>
      <c r="AC2224" s="57"/>
      <c r="AD2224" s="57"/>
      <c r="AE2224" s="57"/>
      <c r="AF2224" s="57"/>
    </row>
    <row r="2225" spans="1:32" x14ac:dyDescent="0.2">
      <c r="A2225" s="57"/>
      <c r="B2225" s="57"/>
      <c r="C2225" s="57"/>
      <c r="D2225" s="57"/>
      <c r="E2225" s="57"/>
      <c r="F2225" s="985"/>
      <c r="G2225" s="57"/>
      <c r="H2225" s="57"/>
      <c r="I2225" s="990"/>
      <c r="J2225" s="57"/>
      <c r="K2225" s="57"/>
      <c r="L2225" s="57"/>
      <c r="M2225" s="57"/>
      <c r="N2225" s="57"/>
      <c r="O2225" s="57"/>
      <c r="P2225" s="57"/>
      <c r="Q2225" s="57"/>
      <c r="R2225" s="57"/>
      <c r="S2225" s="57"/>
      <c r="T2225" s="57"/>
      <c r="U2225" s="57"/>
      <c r="V2225" s="57"/>
      <c r="W2225" s="57"/>
      <c r="X2225" s="57"/>
      <c r="Y2225" s="57"/>
      <c r="Z2225" s="57"/>
      <c r="AA2225" s="57"/>
      <c r="AB2225" s="57"/>
      <c r="AC2225" s="57"/>
      <c r="AD2225" s="57"/>
      <c r="AE2225" s="57"/>
      <c r="AF2225" s="57"/>
    </row>
    <row r="2226" spans="1:32" x14ac:dyDescent="0.2">
      <c r="A2226" s="57"/>
      <c r="B2226" s="57"/>
      <c r="C2226" s="57"/>
      <c r="D2226" s="57"/>
      <c r="E2226" s="57"/>
      <c r="F2226" s="985"/>
      <c r="G2226" s="57"/>
      <c r="H2226" s="57"/>
      <c r="I2226" s="990"/>
      <c r="J2226" s="57"/>
      <c r="K2226" s="57"/>
      <c r="L2226" s="57"/>
      <c r="M2226" s="57"/>
      <c r="N2226" s="57"/>
      <c r="O2226" s="57"/>
      <c r="P2226" s="57"/>
      <c r="Q2226" s="57"/>
      <c r="R2226" s="57"/>
      <c r="S2226" s="57"/>
      <c r="T2226" s="57"/>
      <c r="U2226" s="57"/>
      <c r="V2226" s="57"/>
      <c r="W2226" s="57"/>
      <c r="X2226" s="57"/>
      <c r="Y2226" s="57"/>
      <c r="Z2226" s="57"/>
      <c r="AA2226" s="57"/>
      <c r="AB2226" s="57"/>
      <c r="AC2226" s="57"/>
      <c r="AD2226" s="57"/>
      <c r="AE2226" s="57"/>
      <c r="AF2226" s="57"/>
    </row>
    <row r="2227" spans="1:32" x14ac:dyDescent="0.2">
      <c r="A2227" s="57"/>
      <c r="B2227" s="57"/>
      <c r="C2227" s="57"/>
      <c r="D2227" s="57"/>
      <c r="E2227" s="57"/>
      <c r="F2227" s="985"/>
      <c r="G2227" s="57"/>
      <c r="H2227" s="57"/>
      <c r="I2227" s="990"/>
      <c r="J2227" s="57"/>
      <c r="K2227" s="57"/>
      <c r="L2227" s="57"/>
      <c r="M2227" s="57"/>
      <c r="N2227" s="57"/>
      <c r="O2227" s="57"/>
      <c r="P2227" s="57"/>
      <c r="Q2227" s="57"/>
      <c r="R2227" s="57"/>
      <c r="S2227" s="57"/>
      <c r="T2227" s="57"/>
      <c r="U2227" s="57"/>
      <c r="V2227" s="57"/>
      <c r="W2227" s="57"/>
      <c r="X2227" s="57"/>
      <c r="Y2227" s="57"/>
      <c r="Z2227" s="57"/>
      <c r="AA2227" s="57"/>
      <c r="AB2227" s="57"/>
      <c r="AC2227" s="57"/>
      <c r="AD2227" s="57"/>
      <c r="AE2227" s="57"/>
      <c r="AF2227" s="57"/>
    </row>
    <row r="2228" spans="1:32" x14ac:dyDescent="0.2">
      <c r="A2228" s="57"/>
      <c r="B2228" s="57"/>
      <c r="C2228" s="57"/>
      <c r="D2228" s="57"/>
      <c r="E2228" s="57"/>
      <c r="F2228" s="985"/>
      <c r="G2228" s="57"/>
      <c r="H2228" s="57"/>
      <c r="I2228" s="990"/>
      <c r="J2228" s="57"/>
      <c r="K2228" s="57"/>
      <c r="L2228" s="57"/>
      <c r="M2228" s="57"/>
      <c r="N2228" s="57"/>
      <c r="O2228" s="57"/>
      <c r="P2228" s="57"/>
      <c r="Q2228" s="57"/>
      <c r="R2228" s="57"/>
      <c r="S2228" s="57"/>
      <c r="T2228" s="57"/>
      <c r="U2228" s="57"/>
      <c r="V2228" s="57"/>
      <c r="W2228" s="57"/>
      <c r="X2228" s="57"/>
      <c r="Y2228" s="57"/>
      <c r="Z2228" s="57"/>
      <c r="AA2228" s="57"/>
      <c r="AB2228" s="57"/>
      <c r="AC2228" s="57"/>
      <c r="AD2228" s="57"/>
      <c r="AE2228" s="57"/>
      <c r="AF2228" s="57"/>
    </row>
    <row r="2229" spans="1:32" x14ac:dyDescent="0.2">
      <c r="A2229" s="57"/>
      <c r="B2229" s="57"/>
      <c r="C2229" s="57"/>
      <c r="D2229" s="57"/>
      <c r="E2229" s="57"/>
      <c r="F2229" s="985"/>
      <c r="G2229" s="57"/>
      <c r="H2229" s="57"/>
      <c r="I2229" s="990"/>
      <c r="J2229" s="57"/>
      <c r="K2229" s="57"/>
      <c r="L2229" s="57"/>
      <c r="M2229" s="57"/>
      <c r="N2229" s="57"/>
      <c r="O2229" s="57"/>
      <c r="P2229" s="57"/>
      <c r="Q2229" s="57"/>
      <c r="R2229" s="57"/>
      <c r="S2229" s="57"/>
      <c r="T2229" s="57"/>
      <c r="U2229" s="57"/>
      <c r="V2229" s="57"/>
      <c r="W2229" s="57"/>
      <c r="X2229" s="57"/>
      <c r="Y2229" s="57"/>
      <c r="Z2229" s="57"/>
      <c r="AA2229" s="57"/>
      <c r="AB2229" s="57"/>
      <c r="AC2229" s="57"/>
      <c r="AD2229" s="57"/>
      <c r="AE2229" s="57"/>
      <c r="AF2229" s="57"/>
    </row>
    <row r="2230" spans="1:32" x14ac:dyDescent="0.2">
      <c r="A2230" s="57"/>
      <c r="B2230" s="57"/>
      <c r="C2230" s="57"/>
      <c r="D2230" s="57"/>
      <c r="E2230" s="57"/>
      <c r="F2230" s="985"/>
      <c r="G2230" s="57"/>
      <c r="H2230" s="57"/>
      <c r="I2230" s="990"/>
      <c r="J2230" s="57"/>
      <c r="K2230" s="57"/>
      <c r="L2230" s="57"/>
      <c r="M2230" s="57"/>
      <c r="N2230" s="57"/>
      <c r="O2230" s="57"/>
      <c r="P2230" s="57"/>
      <c r="Q2230" s="57"/>
      <c r="R2230" s="57"/>
      <c r="S2230" s="57"/>
      <c r="T2230" s="57"/>
      <c r="U2230" s="57"/>
      <c r="V2230" s="57"/>
      <c r="W2230" s="57"/>
      <c r="X2230" s="57"/>
      <c r="Y2230" s="57"/>
      <c r="Z2230" s="57"/>
      <c r="AA2230" s="57"/>
      <c r="AB2230" s="57"/>
      <c r="AC2230" s="57"/>
      <c r="AD2230" s="57"/>
      <c r="AE2230" s="57"/>
      <c r="AF2230" s="57"/>
    </row>
    <row r="2231" spans="1:32" x14ac:dyDescent="0.2">
      <c r="A2231" s="57"/>
      <c r="B2231" s="57"/>
      <c r="C2231" s="57"/>
      <c r="D2231" s="57"/>
      <c r="E2231" s="57"/>
      <c r="F2231" s="985"/>
      <c r="G2231" s="57"/>
      <c r="H2231" s="57"/>
      <c r="I2231" s="990"/>
      <c r="J2231" s="57"/>
      <c r="K2231" s="57"/>
      <c r="L2231" s="57"/>
      <c r="M2231" s="57"/>
      <c r="N2231" s="57"/>
      <c r="O2231" s="57"/>
      <c r="P2231" s="57"/>
      <c r="Q2231" s="57"/>
      <c r="R2231" s="57"/>
      <c r="S2231" s="57"/>
      <c r="T2231" s="57"/>
      <c r="U2231" s="57"/>
      <c r="V2231" s="57"/>
      <c r="W2231" s="57"/>
      <c r="X2231" s="57"/>
      <c r="Y2231" s="57"/>
      <c r="Z2231" s="57"/>
      <c r="AA2231" s="57"/>
      <c r="AB2231" s="57"/>
      <c r="AC2231" s="57"/>
      <c r="AD2231" s="57"/>
      <c r="AE2231" s="57"/>
      <c r="AF2231" s="57"/>
    </row>
    <row r="2232" spans="1:32" x14ac:dyDescent="0.2">
      <c r="A2232" s="57"/>
      <c r="B2232" s="57"/>
      <c r="C2232" s="57"/>
      <c r="D2232" s="57"/>
      <c r="E2232" s="57"/>
      <c r="F2232" s="985"/>
      <c r="G2232" s="57"/>
      <c r="H2232" s="57"/>
      <c r="I2232" s="990"/>
      <c r="J2232" s="57"/>
      <c r="K2232" s="57"/>
      <c r="L2232" s="57"/>
      <c r="M2232" s="57"/>
      <c r="N2232" s="57"/>
      <c r="O2232" s="57"/>
      <c r="P2232" s="57"/>
      <c r="Q2232" s="57"/>
      <c r="R2232" s="57"/>
      <c r="S2232" s="57"/>
      <c r="T2232" s="57"/>
      <c r="U2232" s="57"/>
      <c r="V2232" s="57"/>
      <c r="W2232" s="57"/>
      <c r="X2232" s="57"/>
      <c r="Y2232" s="57"/>
      <c r="Z2232" s="57"/>
      <c r="AA2232" s="57"/>
      <c r="AB2232" s="57"/>
      <c r="AC2232" s="57"/>
      <c r="AD2232" s="57"/>
      <c r="AE2232" s="57"/>
      <c r="AF2232" s="57"/>
    </row>
    <row r="2233" spans="1:32" x14ac:dyDescent="0.2">
      <c r="A2233" s="57"/>
      <c r="B2233" s="57"/>
      <c r="C2233" s="57"/>
      <c r="D2233" s="57"/>
      <c r="E2233" s="57"/>
      <c r="F2233" s="985"/>
      <c r="G2233" s="57"/>
      <c r="H2233" s="57"/>
      <c r="I2233" s="990"/>
      <c r="J2233" s="57"/>
      <c r="K2233" s="57"/>
      <c r="L2233" s="57"/>
      <c r="M2233" s="57"/>
      <c r="N2233" s="57"/>
      <c r="O2233" s="57"/>
      <c r="P2233" s="57"/>
      <c r="Q2233" s="57"/>
      <c r="R2233" s="57"/>
      <c r="S2233" s="57"/>
      <c r="T2233" s="57"/>
      <c r="U2233" s="57"/>
      <c r="V2233" s="57"/>
      <c r="W2233" s="57"/>
      <c r="X2233" s="57"/>
      <c r="Y2233" s="57"/>
      <c r="Z2233" s="57"/>
      <c r="AA2233" s="57"/>
      <c r="AB2233" s="57"/>
      <c r="AC2233" s="57"/>
      <c r="AD2233" s="57"/>
      <c r="AE2233" s="57"/>
      <c r="AF2233" s="57"/>
    </row>
    <row r="2234" spans="1:32" x14ac:dyDescent="0.2">
      <c r="A2234" s="57"/>
      <c r="B2234" s="57"/>
      <c r="C2234" s="57"/>
      <c r="D2234" s="57"/>
      <c r="E2234" s="57"/>
      <c r="F2234" s="985"/>
      <c r="G2234" s="57"/>
      <c r="H2234" s="57"/>
      <c r="I2234" s="990"/>
      <c r="J2234" s="57"/>
      <c r="K2234" s="57"/>
      <c r="L2234" s="57"/>
      <c r="M2234" s="57"/>
      <c r="N2234" s="57"/>
      <c r="O2234" s="57"/>
      <c r="P2234" s="57"/>
      <c r="Q2234" s="57"/>
      <c r="R2234" s="57"/>
      <c r="S2234" s="57"/>
      <c r="T2234" s="57"/>
      <c r="U2234" s="57"/>
      <c r="V2234" s="57"/>
      <c r="W2234" s="57"/>
      <c r="X2234" s="57"/>
      <c r="Y2234" s="57"/>
      <c r="Z2234" s="57"/>
      <c r="AA2234" s="57"/>
      <c r="AB2234" s="57"/>
      <c r="AC2234" s="57"/>
      <c r="AD2234" s="57"/>
      <c r="AE2234" s="57"/>
      <c r="AF2234" s="57"/>
    </row>
    <row r="2235" spans="1:32" x14ac:dyDescent="0.2">
      <c r="A2235" s="57"/>
      <c r="B2235" s="57"/>
      <c r="C2235" s="57"/>
      <c r="D2235" s="57"/>
      <c r="E2235" s="57"/>
      <c r="F2235" s="985"/>
      <c r="G2235" s="57"/>
      <c r="H2235" s="57"/>
      <c r="I2235" s="990"/>
      <c r="J2235" s="57"/>
      <c r="K2235" s="57"/>
      <c r="L2235" s="57"/>
      <c r="M2235" s="57"/>
      <c r="N2235" s="57"/>
      <c r="O2235" s="57"/>
      <c r="P2235" s="57"/>
      <c r="Q2235" s="57"/>
      <c r="R2235" s="57"/>
      <c r="S2235" s="57"/>
      <c r="T2235" s="57"/>
      <c r="U2235" s="57"/>
      <c r="V2235" s="57"/>
      <c r="W2235" s="57"/>
      <c r="X2235" s="57"/>
      <c r="Y2235" s="57"/>
      <c r="Z2235" s="57"/>
      <c r="AA2235" s="57"/>
      <c r="AB2235" s="57"/>
      <c r="AC2235" s="57"/>
      <c r="AD2235" s="57"/>
      <c r="AE2235" s="57"/>
      <c r="AF2235" s="57"/>
    </row>
    <row r="2236" spans="1:32" x14ac:dyDescent="0.2">
      <c r="A2236" s="57"/>
      <c r="B2236" s="57"/>
      <c r="C2236" s="57"/>
      <c r="D2236" s="57"/>
      <c r="E2236" s="57"/>
      <c r="F2236" s="985"/>
      <c r="G2236" s="57"/>
      <c r="H2236" s="57"/>
      <c r="I2236" s="990"/>
      <c r="J2236" s="57"/>
      <c r="K2236" s="57"/>
      <c r="L2236" s="57"/>
      <c r="M2236" s="57"/>
      <c r="N2236" s="57"/>
      <c r="O2236" s="57"/>
      <c r="P2236" s="57"/>
      <c r="Q2236" s="57"/>
      <c r="R2236" s="57"/>
      <c r="S2236" s="57"/>
      <c r="T2236" s="57"/>
      <c r="U2236" s="57"/>
      <c r="V2236" s="57"/>
      <c r="W2236" s="57"/>
      <c r="X2236" s="57"/>
      <c r="Y2236" s="57"/>
      <c r="Z2236" s="57"/>
      <c r="AA2236" s="57"/>
      <c r="AB2236" s="57"/>
      <c r="AC2236" s="57"/>
      <c r="AD2236" s="57"/>
      <c r="AE2236" s="57"/>
      <c r="AF2236" s="57"/>
    </row>
    <row r="2237" spans="1:32" x14ac:dyDescent="0.2">
      <c r="A2237" s="57"/>
      <c r="B2237" s="57"/>
      <c r="C2237" s="57"/>
      <c r="D2237" s="57"/>
      <c r="E2237" s="57"/>
      <c r="F2237" s="985"/>
      <c r="G2237" s="57"/>
      <c r="H2237" s="57"/>
      <c r="I2237" s="990"/>
      <c r="J2237" s="57"/>
      <c r="K2237" s="57"/>
      <c r="L2237" s="57"/>
      <c r="M2237" s="57"/>
      <c r="N2237" s="57"/>
      <c r="O2237" s="57"/>
      <c r="P2237" s="57"/>
      <c r="Q2237" s="57"/>
      <c r="R2237" s="57"/>
      <c r="S2237" s="57"/>
      <c r="T2237" s="57"/>
      <c r="U2237" s="57"/>
      <c r="V2237" s="57"/>
      <c r="W2237" s="57"/>
      <c r="X2237" s="57"/>
      <c r="Y2237" s="57"/>
      <c r="Z2237" s="57"/>
      <c r="AA2237" s="57"/>
      <c r="AB2237" s="57"/>
      <c r="AC2237" s="57"/>
      <c r="AD2237" s="57"/>
      <c r="AE2237" s="57"/>
      <c r="AF2237" s="57"/>
    </row>
    <row r="2238" spans="1:32" x14ac:dyDescent="0.2">
      <c r="A2238" s="57"/>
      <c r="B2238" s="57"/>
      <c r="C2238" s="57"/>
      <c r="D2238" s="57"/>
      <c r="E2238" s="57"/>
      <c r="F2238" s="985"/>
      <c r="G2238" s="57"/>
      <c r="H2238" s="57"/>
      <c r="I2238" s="990"/>
      <c r="J2238" s="57"/>
      <c r="K2238" s="57"/>
      <c r="L2238" s="57"/>
      <c r="M2238" s="57"/>
      <c r="N2238" s="57"/>
      <c r="O2238" s="57"/>
      <c r="P2238" s="57"/>
      <c r="Q2238" s="57"/>
      <c r="R2238" s="57"/>
      <c r="S2238" s="57"/>
      <c r="T2238" s="57"/>
      <c r="U2238" s="57"/>
      <c r="V2238" s="57"/>
      <c r="W2238" s="57"/>
      <c r="X2238" s="57"/>
      <c r="Y2238" s="57"/>
      <c r="Z2238" s="57"/>
      <c r="AA2238" s="57"/>
      <c r="AB2238" s="57"/>
      <c r="AC2238" s="57"/>
      <c r="AD2238" s="57"/>
      <c r="AE2238" s="57"/>
      <c r="AF2238" s="57"/>
    </row>
    <row r="2239" spans="1:32" x14ac:dyDescent="0.2">
      <c r="A2239" s="57"/>
      <c r="B2239" s="57"/>
      <c r="C2239" s="57"/>
      <c r="D2239" s="57"/>
      <c r="E2239" s="57"/>
      <c r="F2239" s="985"/>
      <c r="G2239" s="57"/>
      <c r="H2239" s="57"/>
      <c r="I2239" s="990"/>
      <c r="J2239" s="57"/>
      <c r="K2239" s="57"/>
      <c r="L2239" s="57"/>
      <c r="M2239" s="57"/>
      <c r="N2239" s="57"/>
      <c r="O2239" s="57"/>
      <c r="P2239" s="57"/>
      <c r="Q2239" s="57"/>
      <c r="R2239" s="57"/>
      <c r="S2239" s="57"/>
      <c r="T2239" s="57"/>
      <c r="U2239" s="57"/>
      <c r="V2239" s="57"/>
      <c r="W2239" s="57"/>
      <c r="X2239" s="57"/>
      <c r="Y2239" s="57"/>
      <c r="Z2239" s="57"/>
      <c r="AA2239" s="57"/>
      <c r="AB2239" s="57"/>
      <c r="AC2239" s="57"/>
      <c r="AD2239" s="57"/>
      <c r="AE2239" s="57"/>
      <c r="AF2239" s="57"/>
    </row>
    <row r="2240" spans="1:32" x14ac:dyDescent="0.2">
      <c r="A2240" s="57"/>
      <c r="B2240" s="57"/>
      <c r="C2240" s="57"/>
      <c r="D2240" s="57"/>
      <c r="E2240" s="57"/>
      <c r="F2240" s="985"/>
      <c r="G2240" s="57"/>
      <c r="H2240" s="57"/>
      <c r="I2240" s="990"/>
      <c r="J2240" s="57"/>
      <c r="K2240" s="57"/>
      <c r="L2240" s="57"/>
      <c r="M2240" s="57"/>
      <c r="N2240" s="57"/>
      <c r="O2240" s="57"/>
      <c r="P2240" s="57"/>
      <c r="Q2240" s="57"/>
      <c r="R2240" s="57"/>
      <c r="S2240" s="57"/>
      <c r="T2240" s="57"/>
      <c r="U2240" s="57"/>
      <c r="V2240" s="57"/>
      <c r="W2240" s="57"/>
      <c r="X2240" s="57"/>
      <c r="Y2240" s="57"/>
      <c r="Z2240" s="57"/>
      <c r="AA2240" s="57"/>
      <c r="AB2240" s="57"/>
      <c r="AC2240" s="57"/>
      <c r="AD2240" s="57"/>
      <c r="AE2240" s="57"/>
      <c r="AF2240" s="57"/>
    </row>
    <row r="2241" spans="1:32" x14ac:dyDescent="0.2">
      <c r="A2241" s="57"/>
      <c r="B2241" s="57"/>
      <c r="C2241" s="57"/>
      <c r="D2241" s="57"/>
      <c r="E2241" s="57"/>
      <c r="F2241" s="985"/>
      <c r="G2241" s="57"/>
      <c r="H2241" s="57"/>
      <c r="I2241" s="990"/>
      <c r="J2241" s="57"/>
      <c r="K2241" s="57"/>
      <c r="L2241" s="57"/>
      <c r="M2241" s="57"/>
      <c r="N2241" s="57"/>
      <c r="O2241" s="57"/>
      <c r="P2241" s="57"/>
      <c r="Q2241" s="57"/>
      <c r="R2241" s="57"/>
      <c r="S2241" s="57"/>
      <c r="T2241" s="57"/>
      <c r="U2241" s="57"/>
      <c r="V2241" s="57"/>
      <c r="W2241" s="57"/>
      <c r="X2241" s="57"/>
      <c r="Y2241" s="57"/>
      <c r="Z2241" s="57"/>
      <c r="AA2241" s="57"/>
      <c r="AB2241" s="57"/>
      <c r="AC2241" s="57"/>
      <c r="AD2241" s="57"/>
      <c r="AE2241" s="57"/>
      <c r="AF2241" s="57"/>
    </row>
    <row r="2242" spans="1:32" x14ac:dyDescent="0.2">
      <c r="A2242" s="57"/>
      <c r="B2242" s="57"/>
      <c r="C2242" s="57"/>
      <c r="D2242" s="57"/>
      <c r="E2242" s="57"/>
      <c r="F2242" s="985"/>
      <c r="G2242" s="57"/>
      <c r="H2242" s="57"/>
      <c r="I2242" s="990"/>
      <c r="J2242" s="57"/>
      <c r="K2242" s="57"/>
      <c r="L2242" s="57"/>
      <c r="M2242" s="57"/>
      <c r="N2242" s="57"/>
      <c r="O2242" s="57"/>
      <c r="P2242" s="57"/>
      <c r="Q2242" s="57"/>
      <c r="R2242" s="57"/>
      <c r="S2242" s="57"/>
      <c r="T2242" s="57"/>
      <c r="U2242" s="57"/>
      <c r="V2242" s="57"/>
      <c r="W2242" s="57"/>
      <c r="X2242" s="57"/>
      <c r="Y2242" s="57"/>
      <c r="Z2242" s="57"/>
      <c r="AA2242" s="57"/>
      <c r="AB2242" s="57"/>
      <c r="AC2242" s="57"/>
      <c r="AD2242" s="57"/>
      <c r="AE2242" s="57"/>
      <c r="AF2242" s="57"/>
    </row>
    <row r="2243" spans="1:32" x14ac:dyDescent="0.2">
      <c r="A2243" s="57"/>
      <c r="B2243" s="57"/>
      <c r="C2243" s="57"/>
      <c r="D2243" s="57"/>
      <c r="E2243" s="57"/>
      <c r="F2243" s="985"/>
      <c r="G2243" s="57"/>
      <c r="H2243" s="57"/>
      <c r="I2243" s="990"/>
      <c r="J2243" s="57"/>
      <c r="K2243" s="57"/>
      <c r="L2243" s="57"/>
      <c r="M2243" s="57"/>
      <c r="N2243" s="57"/>
      <c r="O2243" s="57"/>
      <c r="P2243" s="57"/>
      <c r="Q2243" s="57"/>
      <c r="R2243" s="57"/>
      <c r="S2243" s="57"/>
      <c r="T2243" s="57"/>
      <c r="U2243" s="57"/>
      <c r="V2243" s="57"/>
      <c r="W2243" s="57"/>
      <c r="X2243" s="57"/>
      <c r="Y2243" s="57"/>
      <c r="Z2243" s="57"/>
      <c r="AA2243" s="57"/>
      <c r="AB2243" s="57"/>
      <c r="AC2243" s="57"/>
      <c r="AD2243" s="57"/>
      <c r="AE2243" s="57"/>
      <c r="AF2243" s="57"/>
    </row>
    <row r="2244" spans="1:32" x14ac:dyDescent="0.2">
      <c r="A2244" s="57"/>
      <c r="B2244" s="57"/>
      <c r="C2244" s="57"/>
      <c r="D2244" s="57"/>
      <c r="E2244" s="57"/>
      <c r="F2244" s="985"/>
      <c r="G2244" s="57"/>
      <c r="H2244" s="57"/>
      <c r="I2244" s="990"/>
      <c r="J2244" s="57"/>
      <c r="K2244" s="57"/>
      <c r="L2244" s="57"/>
      <c r="M2244" s="57"/>
      <c r="N2244" s="57"/>
      <c r="O2244" s="57"/>
      <c r="P2244" s="57"/>
      <c r="Q2244" s="57"/>
      <c r="R2244" s="57"/>
      <c r="S2244" s="57"/>
      <c r="T2244" s="57"/>
      <c r="U2244" s="57"/>
      <c r="V2244" s="57"/>
      <c r="W2244" s="57"/>
      <c r="X2244" s="57"/>
      <c r="Y2244" s="57"/>
      <c r="Z2244" s="57"/>
      <c r="AA2244" s="57"/>
      <c r="AB2244" s="57"/>
      <c r="AC2244" s="57"/>
      <c r="AD2244" s="57"/>
      <c r="AE2244" s="57"/>
      <c r="AF2244" s="57"/>
    </row>
    <row r="2245" spans="1:32" x14ac:dyDescent="0.2">
      <c r="A2245" s="57"/>
      <c r="B2245" s="57"/>
      <c r="C2245" s="57"/>
      <c r="D2245" s="57"/>
      <c r="E2245" s="57"/>
      <c r="F2245" s="985"/>
      <c r="G2245" s="57"/>
      <c r="H2245" s="57"/>
      <c r="I2245" s="990"/>
      <c r="J2245" s="57"/>
      <c r="K2245" s="57"/>
      <c r="L2245" s="57"/>
      <c r="M2245" s="57"/>
      <c r="N2245" s="57"/>
      <c r="O2245" s="57"/>
      <c r="P2245" s="57"/>
      <c r="Q2245" s="57"/>
      <c r="R2245" s="57"/>
      <c r="S2245" s="57"/>
      <c r="T2245" s="57"/>
      <c r="U2245" s="57"/>
      <c r="V2245" s="57"/>
      <c r="W2245" s="57"/>
      <c r="X2245" s="57"/>
      <c r="Y2245" s="57"/>
      <c r="Z2245" s="57"/>
      <c r="AA2245" s="57"/>
      <c r="AB2245" s="57"/>
      <c r="AC2245" s="57"/>
      <c r="AD2245" s="57"/>
      <c r="AE2245" s="57"/>
      <c r="AF2245" s="57"/>
    </row>
    <row r="2246" spans="1:32" x14ac:dyDescent="0.2">
      <c r="A2246" s="57"/>
      <c r="B2246" s="57"/>
      <c r="C2246" s="57"/>
      <c r="D2246" s="57"/>
      <c r="E2246" s="57"/>
      <c r="F2246" s="985"/>
      <c r="G2246" s="57"/>
      <c r="H2246" s="57"/>
      <c r="I2246" s="990"/>
      <c r="J2246" s="57"/>
      <c r="K2246" s="57"/>
      <c r="L2246" s="57"/>
      <c r="M2246" s="57"/>
      <c r="N2246" s="57"/>
      <c r="O2246" s="57"/>
      <c r="P2246" s="57"/>
      <c r="Q2246" s="57"/>
      <c r="R2246" s="57"/>
      <c r="S2246" s="57"/>
      <c r="T2246" s="57"/>
      <c r="U2246" s="57"/>
      <c r="V2246" s="57"/>
      <c r="W2246" s="57"/>
      <c r="X2246" s="57"/>
      <c r="Y2246" s="57"/>
      <c r="Z2246" s="57"/>
      <c r="AA2246" s="57"/>
      <c r="AB2246" s="57"/>
      <c r="AC2246" s="57"/>
      <c r="AD2246" s="57"/>
      <c r="AE2246" s="57"/>
      <c r="AF2246" s="57"/>
    </row>
    <row r="2247" spans="1:32" x14ac:dyDescent="0.2">
      <c r="A2247" s="57"/>
      <c r="B2247" s="57"/>
      <c r="C2247" s="57"/>
      <c r="D2247" s="57"/>
      <c r="E2247" s="57"/>
      <c r="F2247" s="985"/>
      <c r="G2247" s="57"/>
      <c r="H2247" s="57"/>
      <c r="I2247" s="990"/>
      <c r="J2247" s="57"/>
      <c r="K2247" s="57"/>
      <c r="L2247" s="57"/>
      <c r="M2247" s="57"/>
      <c r="N2247" s="57"/>
      <c r="O2247" s="57"/>
      <c r="P2247" s="57"/>
      <c r="Q2247" s="57"/>
      <c r="R2247" s="57"/>
      <c r="S2247" s="57"/>
      <c r="T2247" s="57"/>
      <c r="U2247" s="57"/>
      <c r="V2247" s="57"/>
      <c r="W2247" s="57"/>
      <c r="X2247" s="57"/>
      <c r="Y2247" s="57"/>
      <c r="Z2247" s="57"/>
      <c r="AA2247" s="57"/>
      <c r="AB2247" s="57"/>
      <c r="AC2247" s="57"/>
      <c r="AD2247" s="57"/>
      <c r="AE2247" s="57"/>
      <c r="AF2247" s="57"/>
    </row>
    <row r="2248" spans="1:32" x14ac:dyDescent="0.2">
      <c r="A2248" s="57"/>
      <c r="B2248" s="57"/>
      <c r="C2248" s="57"/>
      <c r="D2248" s="57"/>
      <c r="E2248" s="57"/>
      <c r="F2248" s="985"/>
      <c r="G2248" s="57"/>
      <c r="H2248" s="57"/>
      <c r="I2248" s="990"/>
      <c r="J2248" s="57"/>
      <c r="K2248" s="57"/>
      <c r="L2248" s="57"/>
      <c r="M2248" s="57"/>
      <c r="N2248" s="57"/>
      <c r="O2248" s="57"/>
      <c r="P2248" s="57"/>
      <c r="Q2248" s="57"/>
      <c r="R2248" s="57"/>
      <c r="S2248" s="57"/>
      <c r="T2248" s="57"/>
      <c r="U2248" s="57"/>
      <c r="V2248" s="57"/>
      <c r="W2248" s="57"/>
      <c r="X2248" s="57"/>
      <c r="Y2248" s="57"/>
      <c r="Z2248" s="57"/>
      <c r="AA2248" s="57"/>
      <c r="AB2248" s="57"/>
      <c r="AC2248" s="57"/>
      <c r="AD2248" s="57"/>
      <c r="AE2248" s="57"/>
      <c r="AF2248" s="57"/>
    </row>
    <row r="2249" spans="1:32" x14ac:dyDescent="0.2">
      <c r="A2249" s="57"/>
      <c r="B2249" s="57"/>
      <c r="C2249" s="57"/>
      <c r="D2249" s="57"/>
      <c r="E2249" s="57"/>
      <c r="F2249" s="985"/>
      <c r="G2249" s="57"/>
      <c r="H2249" s="57"/>
      <c r="I2249" s="990"/>
      <c r="J2249" s="57"/>
      <c r="K2249" s="57"/>
      <c r="L2249" s="57"/>
      <c r="M2249" s="57"/>
      <c r="N2249" s="57"/>
      <c r="O2249" s="57"/>
      <c r="P2249" s="57"/>
      <c r="Q2249" s="57"/>
      <c r="R2249" s="57"/>
      <c r="S2249" s="57"/>
      <c r="T2249" s="57"/>
      <c r="U2249" s="57"/>
      <c r="V2249" s="57"/>
      <c r="W2249" s="57"/>
      <c r="X2249" s="57"/>
      <c r="Y2249" s="57"/>
      <c r="Z2249" s="57"/>
      <c r="AA2249" s="57"/>
      <c r="AB2249" s="57"/>
      <c r="AC2249" s="57"/>
      <c r="AD2249" s="57"/>
      <c r="AE2249" s="57"/>
      <c r="AF2249" s="57"/>
    </row>
    <row r="2250" spans="1:32" x14ac:dyDescent="0.2">
      <c r="A2250" s="57"/>
      <c r="B2250" s="57"/>
      <c r="C2250" s="57"/>
      <c r="D2250" s="57"/>
      <c r="E2250" s="57"/>
      <c r="F2250" s="985"/>
      <c r="G2250" s="57"/>
      <c r="H2250" s="57"/>
      <c r="I2250" s="990"/>
      <c r="J2250" s="57"/>
      <c r="K2250" s="57"/>
      <c r="L2250" s="57"/>
      <c r="M2250" s="57"/>
      <c r="N2250" s="57"/>
      <c r="O2250" s="57"/>
      <c r="P2250" s="57"/>
      <c r="Q2250" s="57"/>
      <c r="R2250" s="57"/>
      <c r="S2250" s="57"/>
      <c r="T2250" s="57"/>
      <c r="U2250" s="57"/>
      <c r="V2250" s="57"/>
      <c r="W2250" s="57"/>
      <c r="X2250" s="57"/>
      <c r="Y2250" s="57"/>
      <c r="Z2250" s="57"/>
      <c r="AA2250" s="57"/>
      <c r="AB2250" s="57"/>
      <c r="AC2250" s="57"/>
      <c r="AD2250" s="57"/>
      <c r="AE2250" s="57"/>
      <c r="AF2250" s="57"/>
    </row>
    <row r="2251" spans="1:32" x14ac:dyDescent="0.2">
      <c r="A2251" s="57"/>
      <c r="B2251" s="57"/>
      <c r="C2251" s="57"/>
      <c r="D2251" s="57"/>
      <c r="E2251" s="57"/>
      <c r="F2251" s="985"/>
      <c r="G2251" s="57"/>
      <c r="H2251" s="57"/>
      <c r="I2251" s="990"/>
      <c r="J2251" s="57"/>
      <c r="K2251" s="57"/>
      <c r="L2251" s="57"/>
      <c r="M2251" s="57"/>
      <c r="N2251" s="57"/>
      <c r="O2251" s="57"/>
      <c r="P2251" s="57"/>
      <c r="Q2251" s="57"/>
      <c r="R2251" s="57"/>
      <c r="S2251" s="57"/>
      <c r="T2251" s="57"/>
      <c r="U2251" s="57"/>
      <c r="V2251" s="57"/>
      <c r="W2251" s="57"/>
      <c r="X2251" s="57"/>
      <c r="Y2251" s="57"/>
      <c r="Z2251" s="57"/>
      <c r="AA2251" s="57"/>
      <c r="AB2251" s="57"/>
      <c r="AC2251" s="57"/>
      <c r="AD2251" s="57"/>
      <c r="AE2251" s="57"/>
      <c r="AF2251" s="57"/>
    </row>
    <row r="2252" spans="1:32" x14ac:dyDescent="0.2">
      <c r="A2252" s="57"/>
      <c r="B2252" s="57"/>
      <c r="C2252" s="57"/>
      <c r="D2252" s="57"/>
      <c r="E2252" s="57"/>
      <c r="F2252" s="985"/>
      <c r="G2252" s="57"/>
      <c r="H2252" s="57"/>
      <c r="I2252" s="990"/>
      <c r="J2252" s="57"/>
      <c r="K2252" s="57"/>
      <c r="L2252" s="57"/>
      <c r="M2252" s="57"/>
      <c r="N2252" s="57"/>
      <c r="O2252" s="57"/>
      <c r="P2252" s="57"/>
      <c r="Q2252" s="57"/>
      <c r="R2252" s="57"/>
      <c r="S2252" s="57"/>
      <c r="T2252" s="57"/>
      <c r="U2252" s="57"/>
      <c r="V2252" s="57"/>
      <c r="W2252" s="57"/>
      <c r="X2252" s="57"/>
      <c r="Y2252" s="57"/>
      <c r="Z2252" s="57"/>
      <c r="AA2252" s="57"/>
      <c r="AB2252" s="57"/>
      <c r="AC2252" s="57"/>
      <c r="AD2252" s="57"/>
      <c r="AE2252" s="57"/>
      <c r="AF2252" s="57"/>
    </row>
    <row r="2253" spans="1:32" x14ac:dyDescent="0.2">
      <c r="A2253" s="57"/>
      <c r="B2253" s="57"/>
      <c r="C2253" s="57"/>
      <c r="D2253" s="57"/>
      <c r="E2253" s="57"/>
      <c r="F2253" s="985"/>
      <c r="G2253" s="57"/>
      <c r="H2253" s="57"/>
      <c r="I2253" s="990"/>
      <c r="J2253" s="57"/>
      <c r="K2253" s="57"/>
      <c r="L2253" s="57"/>
      <c r="M2253" s="57"/>
      <c r="N2253" s="57"/>
      <c r="O2253" s="57"/>
      <c r="P2253" s="57"/>
      <c r="Q2253" s="57"/>
      <c r="R2253" s="57"/>
      <c r="S2253" s="57"/>
      <c r="T2253" s="57"/>
      <c r="U2253" s="57"/>
      <c r="V2253" s="57"/>
      <c r="W2253" s="57"/>
      <c r="X2253" s="57"/>
      <c r="Y2253" s="57"/>
      <c r="Z2253" s="57"/>
      <c r="AA2253" s="57"/>
      <c r="AB2253" s="57"/>
      <c r="AC2253" s="57"/>
      <c r="AD2253" s="57"/>
      <c r="AE2253" s="57"/>
      <c r="AF2253" s="57"/>
    </row>
    <row r="2254" spans="1:32" x14ac:dyDescent="0.2">
      <c r="A2254" s="57"/>
      <c r="B2254" s="57"/>
      <c r="C2254" s="57"/>
      <c r="D2254" s="57"/>
      <c r="E2254" s="57"/>
      <c r="F2254" s="985"/>
      <c r="G2254" s="57"/>
      <c r="H2254" s="57"/>
      <c r="I2254" s="990"/>
      <c r="J2254" s="57"/>
      <c r="K2254" s="57"/>
      <c r="L2254" s="57"/>
      <c r="M2254" s="57"/>
      <c r="N2254" s="57"/>
      <c r="O2254" s="57"/>
      <c r="P2254" s="57"/>
      <c r="Q2254" s="57"/>
      <c r="R2254" s="57"/>
      <c r="S2254" s="57"/>
      <c r="T2254" s="57"/>
      <c r="U2254" s="57"/>
      <c r="V2254" s="57"/>
      <c r="W2254" s="57"/>
      <c r="X2254" s="57"/>
      <c r="Y2254" s="57"/>
      <c r="Z2254" s="57"/>
      <c r="AA2254" s="57"/>
      <c r="AB2254" s="57"/>
      <c r="AC2254" s="57"/>
      <c r="AD2254" s="57"/>
      <c r="AE2254" s="57"/>
      <c r="AF2254" s="57"/>
    </row>
    <row r="2255" spans="1:32" x14ac:dyDescent="0.2">
      <c r="A2255" s="57"/>
      <c r="B2255" s="57"/>
      <c r="C2255" s="57"/>
      <c r="D2255" s="57"/>
      <c r="E2255" s="57"/>
      <c r="F2255" s="985"/>
      <c r="G2255" s="57"/>
      <c r="H2255" s="57"/>
      <c r="I2255" s="990"/>
      <c r="J2255" s="57"/>
      <c r="K2255" s="57"/>
      <c r="L2255" s="57"/>
      <c r="M2255" s="57"/>
      <c r="N2255" s="57"/>
      <c r="O2255" s="57"/>
      <c r="P2255" s="57"/>
      <c r="Q2255" s="57"/>
      <c r="R2255" s="57"/>
      <c r="S2255" s="57"/>
      <c r="T2255" s="57"/>
      <c r="U2255" s="57"/>
      <c r="V2255" s="57"/>
      <c r="W2255" s="57"/>
      <c r="X2255" s="57"/>
      <c r="Y2255" s="57"/>
      <c r="Z2255" s="57"/>
      <c r="AA2255" s="57"/>
      <c r="AB2255" s="57"/>
      <c r="AC2255" s="57"/>
      <c r="AD2255" s="57"/>
      <c r="AE2255" s="57"/>
      <c r="AF2255" s="57"/>
    </row>
    <row r="2256" spans="1:32" x14ac:dyDescent="0.2">
      <c r="A2256" s="57"/>
      <c r="B2256" s="57"/>
      <c r="C2256" s="57"/>
      <c r="D2256" s="57"/>
      <c r="E2256" s="57"/>
      <c r="F2256" s="985"/>
      <c r="G2256" s="57"/>
      <c r="H2256" s="57"/>
      <c r="I2256" s="990"/>
      <c r="J2256" s="57"/>
      <c r="K2256" s="57"/>
      <c r="L2256" s="57"/>
      <c r="M2256" s="57"/>
      <c r="N2256" s="57"/>
      <c r="O2256" s="57"/>
      <c r="P2256" s="57"/>
      <c r="Q2256" s="57"/>
      <c r="R2256" s="57"/>
      <c r="S2256" s="57"/>
      <c r="T2256" s="57"/>
      <c r="U2256" s="57"/>
      <c r="V2256" s="57"/>
      <c r="W2256" s="57"/>
      <c r="X2256" s="57"/>
      <c r="Y2256" s="57"/>
      <c r="Z2256" s="57"/>
      <c r="AA2256" s="57"/>
      <c r="AB2256" s="57"/>
      <c r="AC2256" s="57"/>
      <c r="AD2256" s="57"/>
      <c r="AE2256" s="57"/>
      <c r="AF2256" s="57"/>
    </row>
    <row r="2257" spans="1:32" x14ac:dyDescent="0.2">
      <c r="A2257" s="57"/>
      <c r="B2257" s="57"/>
      <c r="C2257" s="57"/>
      <c r="D2257" s="57"/>
      <c r="E2257" s="57"/>
      <c r="F2257" s="985"/>
      <c r="G2257" s="57"/>
      <c r="H2257" s="57"/>
      <c r="I2257" s="990"/>
      <c r="J2257" s="57"/>
      <c r="K2257" s="57"/>
      <c r="L2257" s="57"/>
      <c r="M2257" s="57"/>
      <c r="N2257" s="57"/>
      <c r="O2257" s="57"/>
      <c r="P2257" s="57"/>
      <c r="Q2257" s="57"/>
      <c r="R2257" s="57"/>
      <c r="S2257" s="57"/>
      <c r="T2257" s="57"/>
      <c r="U2257" s="57"/>
      <c r="V2257" s="57"/>
      <c r="W2257" s="57"/>
      <c r="X2257" s="57"/>
      <c r="Y2257" s="57"/>
      <c r="Z2257" s="57"/>
      <c r="AA2257" s="57"/>
      <c r="AB2257" s="57"/>
      <c r="AC2257" s="57"/>
      <c r="AD2257" s="57"/>
      <c r="AE2257" s="57"/>
      <c r="AF2257" s="57"/>
    </row>
    <row r="2258" spans="1:32" x14ac:dyDescent="0.2">
      <c r="A2258" s="57"/>
      <c r="B2258" s="57"/>
      <c r="C2258" s="57"/>
      <c r="D2258" s="57"/>
      <c r="E2258" s="57"/>
      <c r="F2258" s="985"/>
      <c r="G2258" s="57"/>
      <c r="H2258" s="57"/>
      <c r="I2258" s="990"/>
      <c r="J2258" s="57"/>
      <c r="K2258" s="57"/>
      <c r="L2258" s="57"/>
      <c r="M2258" s="57"/>
      <c r="N2258" s="57"/>
      <c r="O2258" s="57"/>
      <c r="P2258" s="57"/>
      <c r="Q2258" s="57"/>
      <c r="R2258" s="57"/>
      <c r="S2258" s="57"/>
      <c r="T2258" s="57"/>
      <c r="U2258" s="57"/>
      <c r="V2258" s="57"/>
      <c r="W2258" s="57"/>
      <c r="X2258" s="57"/>
      <c r="Y2258" s="57"/>
      <c r="Z2258" s="57"/>
      <c r="AA2258" s="57"/>
      <c r="AB2258" s="57"/>
      <c r="AC2258" s="57"/>
      <c r="AD2258" s="57"/>
      <c r="AE2258" s="57"/>
      <c r="AF2258" s="57"/>
    </row>
    <row r="2259" spans="1:32" x14ac:dyDescent="0.2">
      <c r="A2259" s="57"/>
      <c r="B2259" s="57"/>
      <c r="C2259" s="57"/>
      <c r="D2259" s="57"/>
      <c r="E2259" s="57"/>
      <c r="F2259" s="985"/>
      <c r="G2259" s="57"/>
      <c r="H2259" s="57"/>
      <c r="I2259" s="990"/>
      <c r="J2259" s="57"/>
      <c r="K2259" s="57"/>
      <c r="L2259" s="57"/>
      <c r="M2259" s="57"/>
      <c r="N2259" s="57"/>
      <c r="O2259" s="57"/>
      <c r="P2259" s="57"/>
      <c r="Q2259" s="57"/>
      <c r="R2259" s="57"/>
      <c r="S2259" s="57"/>
      <c r="T2259" s="57"/>
      <c r="U2259" s="57"/>
      <c r="V2259" s="57"/>
      <c r="W2259" s="57"/>
      <c r="X2259" s="57"/>
      <c r="Y2259" s="57"/>
      <c r="Z2259" s="57"/>
      <c r="AA2259" s="57"/>
      <c r="AB2259" s="57"/>
      <c r="AC2259" s="57"/>
      <c r="AD2259" s="57"/>
      <c r="AE2259" s="57"/>
      <c r="AF2259" s="57"/>
    </row>
    <row r="2260" spans="1:32" x14ac:dyDescent="0.2">
      <c r="A2260" s="57"/>
      <c r="B2260" s="57"/>
      <c r="C2260" s="57"/>
      <c r="D2260" s="57"/>
      <c r="E2260" s="57"/>
      <c r="F2260" s="985"/>
      <c r="G2260" s="57"/>
      <c r="H2260" s="57"/>
      <c r="I2260" s="990"/>
      <c r="J2260" s="57"/>
      <c r="K2260" s="57"/>
      <c r="L2260" s="57"/>
      <c r="M2260" s="57"/>
      <c r="N2260" s="57"/>
      <c r="O2260" s="57"/>
      <c r="P2260" s="57"/>
      <c r="Q2260" s="57"/>
      <c r="R2260" s="57"/>
      <c r="S2260" s="57"/>
      <c r="T2260" s="57"/>
      <c r="U2260" s="57"/>
      <c r="V2260" s="57"/>
      <c r="W2260" s="57"/>
      <c r="X2260" s="57"/>
      <c r="Y2260" s="57"/>
      <c r="Z2260" s="57"/>
      <c r="AA2260" s="57"/>
      <c r="AB2260" s="57"/>
      <c r="AC2260" s="57"/>
      <c r="AD2260" s="57"/>
      <c r="AE2260" s="57"/>
      <c r="AF2260" s="57"/>
    </row>
    <row r="2261" spans="1:32" x14ac:dyDescent="0.2">
      <c r="A2261" s="57"/>
      <c r="B2261" s="57"/>
      <c r="C2261" s="57"/>
      <c r="D2261" s="57"/>
      <c r="E2261" s="57"/>
      <c r="F2261" s="985"/>
      <c r="G2261" s="57"/>
      <c r="H2261" s="57"/>
      <c r="I2261" s="990"/>
      <c r="J2261" s="57"/>
      <c r="K2261" s="57"/>
      <c r="L2261" s="57"/>
      <c r="M2261" s="57"/>
      <c r="N2261" s="57"/>
      <c r="O2261" s="57"/>
      <c r="P2261" s="57"/>
      <c r="Q2261" s="57"/>
      <c r="R2261" s="57"/>
      <c r="S2261" s="57"/>
      <c r="T2261" s="57"/>
      <c r="U2261" s="57"/>
      <c r="V2261" s="57"/>
      <c r="W2261" s="57"/>
      <c r="X2261" s="57"/>
      <c r="Y2261" s="57"/>
      <c r="Z2261" s="57"/>
      <c r="AA2261" s="57"/>
      <c r="AB2261" s="57"/>
      <c r="AC2261" s="57"/>
      <c r="AD2261" s="57"/>
      <c r="AE2261" s="57"/>
      <c r="AF2261" s="57"/>
    </row>
    <row r="2262" spans="1:32" x14ac:dyDescent="0.2">
      <c r="A2262" s="57"/>
      <c r="B2262" s="57"/>
      <c r="C2262" s="57"/>
      <c r="D2262" s="57"/>
      <c r="E2262" s="57"/>
      <c r="F2262" s="985"/>
      <c r="G2262" s="57"/>
      <c r="H2262" s="57"/>
      <c r="I2262" s="990"/>
      <c r="J2262" s="57"/>
      <c r="K2262" s="57"/>
      <c r="L2262" s="57"/>
      <c r="M2262" s="57"/>
      <c r="N2262" s="57"/>
      <c r="O2262" s="57"/>
      <c r="P2262" s="57"/>
      <c r="Q2262" s="57"/>
      <c r="R2262" s="57"/>
      <c r="S2262" s="57"/>
      <c r="T2262" s="57"/>
      <c r="U2262" s="57"/>
      <c r="V2262" s="57"/>
      <c r="W2262" s="57"/>
      <c r="X2262" s="57"/>
      <c r="Y2262" s="57"/>
      <c r="Z2262" s="57"/>
      <c r="AA2262" s="57"/>
      <c r="AB2262" s="57"/>
      <c r="AC2262" s="57"/>
      <c r="AD2262" s="57"/>
      <c r="AE2262" s="57"/>
      <c r="AF2262" s="57"/>
    </row>
    <row r="2263" spans="1:32" x14ac:dyDescent="0.2">
      <c r="A2263" s="57"/>
      <c r="B2263" s="57"/>
      <c r="C2263" s="57"/>
      <c r="D2263" s="57"/>
      <c r="E2263" s="57"/>
      <c r="F2263" s="985"/>
      <c r="G2263" s="57"/>
      <c r="H2263" s="57"/>
      <c r="I2263" s="990"/>
      <c r="J2263" s="57"/>
      <c r="K2263" s="57"/>
      <c r="L2263" s="57"/>
      <c r="M2263" s="57"/>
      <c r="N2263" s="57"/>
      <c r="O2263" s="57"/>
      <c r="P2263" s="57"/>
      <c r="Q2263" s="57"/>
      <c r="R2263" s="57"/>
      <c r="S2263" s="57"/>
      <c r="T2263" s="57"/>
      <c r="U2263" s="57"/>
      <c r="V2263" s="57"/>
      <c r="W2263" s="57"/>
      <c r="X2263" s="57"/>
      <c r="Y2263" s="57"/>
      <c r="Z2263" s="57"/>
      <c r="AA2263" s="57"/>
      <c r="AB2263" s="57"/>
      <c r="AC2263" s="57"/>
      <c r="AD2263" s="57"/>
      <c r="AE2263" s="57"/>
      <c r="AF2263" s="57"/>
    </row>
    <row r="2264" spans="1:32" x14ac:dyDescent="0.2">
      <c r="A2264" s="57"/>
      <c r="B2264" s="57"/>
      <c r="C2264" s="57"/>
      <c r="D2264" s="57"/>
      <c r="E2264" s="57"/>
      <c r="F2264" s="985"/>
      <c r="G2264" s="57"/>
      <c r="H2264" s="57"/>
      <c r="I2264" s="990"/>
      <c r="J2264" s="57"/>
      <c r="K2264" s="57"/>
      <c r="L2264" s="57"/>
      <c r="M2264" s="57"/>
      <c r="N2264" s="57"/>
      <c r="O2264" s="57"/>
      <c r="P2264" s="57"/>
      <c r="Q2264" s="57"/>
      <c r="R2264" s="57"/>
      <c r="S2264" s="57"/>
      <c r="T2264" s="57"/>
      <c r="U2264" s="57"/>
      <c r="V2264" s="57"/>
      <c r="W2264" s="57"/>
      <c r="X2264" s="57"/>
      <c r="Y2264" s="57"/>
      <c r="Z2264" s="57"/>
      <c r="AA2264" s="57"/>
      <c r="AB2264" s="57"/>
      <c r="AC2264" s="57"/>
      <c r="AD2264" s="57"/>
      <c r="AE2264" s="57"/>
      <c r="AF2264" s="57"/>
    </row>
    <row r="2265" spans="1:32" x14ac:dyDescent="0.2">
      <c r="A2265" s="57"/>
      <c r="B2265" s="57"/>
      <c r="C2265" s="57"/>
      <c r="D2265" s="57"/>
      <c r="E2265" s="57"/>
      <c r="F2265" s="985"/>
      <c r="G2265" s="57"/>
      <c r="H2265" s="57"/>
      <c r="I2265" s="990"/>
      <c r="J2265" s="57"/>
      <c r="K2265" s="57"/>
      <c r="L2265" s="57"/>
      <c r="M2265" s="57"/>
      <c r="N2265" s="57"/>
      <c r="O2265" s="57"/>
      <c r="P2265" s="57"/>
      <c r="Q2265" s="57"/>
      <c r="R2265" s="57"/>
      <c r="S2265" s="57"/>
      <c r="T2265" s="57"/>
      <c r="U2265" s="57"/>
      <c r="V2265" s="57"/>
      <c r="W2265" s="57"/>
      <c r="X2265" s="57"/>
      <c r="Y2265" s="57"/>
      <c r="Z2265" s="57"/>
      <c r="AA2265" s="57"/>
      <c r="AB2265" s="57"/>
      <c r="AC2265" s="57"/>
      <c r="AD2265" s="57"/>
      <c r="AE2265" s="57"/>
      <c r="AF2265" s="57"/>
    </row>
    <row r="2266" spans="1:32" x14ac:dyDescent="0.2">
      <c r="A2266" s="57"/>
      <c r="B2266" s="57"/>
      <c r="C2266" s="57"/>
      <c r="D2266" s="57"/>
      <c r="E2266" s="57"/>
      <c r="F2266" s="985"/>
      <c r="G2266" s="57"/>
      <c r="H2266" s="57"/>
      <c r="I2266" s="990"/>
      <c r="J2266" s="57"/>
      <c r="K2266" s="57"/>
      <c r="L2266" s="57"/>
      <c r="M2266" s="57"/>
      <c r="N2266" s="57"/>
      <c r="O2266" s="57"/>
      <c r="P2266" s="57"/>
      <c r="Q2266" s="57"/>
      <c r="R2266" s="57"/>
      <c r="S2266" s="57"/>
      <c r="T2266" s="57"/>
      <c r="U2266" s="57"/>
      <c r="V2266" s="57"/>
      <c r="W2266" s="57"/>
      <c r="X2266" s="57"/>
      <c r="Y2266" s="57"/>
      <c r="Z2266" s="57"/>
      <c r="AA2266" s="57"/>
      <c r="AB2266" s="57"/>
      <c r="AC2266" s="57"/>
      <c r="AD2266" s="57"/>
      <c r="AE2266" s="57"/>
      <c r="AF2266" s="57"/>
    </row>
    <row r="2267" spans="1:32" x14ac:dyDescent="0.2">
      <c r="A2267" s="57"/>
      <c r="B2267" s="57"/>
      <c r="C2267" s="57"/>
      <c r="D2267" s="57"/>
      <c r="E2267" s="57"/>
      <c r="F2267" s="985"/>
      <c r="G2267" s="57"/>
      <c r="H2267" s="57"/>
      <c r="I2267" s="990"/>
      <c r="J2267" s="57"/>
      <c r="K2267" s="57"/>
      <c r="L2267" s="57"/>
      <c r="M2267" s="57"/>
      <c r="N2267" s="57"/>
      <c r="O2267" s="57"/>
      <c r="P2267" s="57"/>
      <c r="Q2267" s="57"/>
      <c r="R2267" s="57"/>
      <c r="S2267" s="57"/>
      <c r="T2267" s="57"/>
      <c r="U2267" s="57"/>
      <c r="V2267" s="57"/>
      <c r="W2267" s="57"/>
      <c r="X2267" s="57"/>
      <c r="Y2267" s="57"/>
      <c r="Z2267" s="57"/>
      <c r="AA2267" s="57"/>
      <c r="AB2267" s="57"/>
      <c r="AC2267" s="57"/>
      <c r="AD2267" s="57"/>
      <c r="AE2267" s="57"/>
      <c r="AF2267" s="57"/>
    </row>
    <row r="2268" spans="1:32" x14ac:dyDescent="0.2">
      <c r="A2268" s="57"/>
      <c r="B2268" s="57"/>
      <c r="C2268" s="57"/>
      <c r="D2268" s="57"/>
      <c r="E2268" s="57"/>
      <c r="F2268" s="985"/>
      <c r="G2268" s="57"/>
      <c r="H2268" s="57"/>
      <c r="I2268" s="990"/>
      <c r="J2268" s="57"/>
      <c r="K2268" s="57"/>
      <c r="L2268" s="57"/>
      <c r="M2268" s="57"/>
      <c r="N2268" s="57"/>
      <c r="O2268" s="57"/>
      <c r="P2268" s="57"/>
      <c r="Q2268" s="57"/>
      <c r="R2268" s="57"/>
      <c r="S2268" s="57"/>
      <c r="T2268" s="57"/>
      <c r="U2268" s="57"/>
      <c r="V2268" s="57"/>
      <c r="W2268" s="57"/>
      <c r="X2268" s="57"/>
      <c r="Y2268" s="57"/>
      <c r="Z2268" s="57"/>
      <c r="AA2268" s="57"/>
      <c r="AB2268" s="57"/>
      <c r="AC2268" s="57"/>
      <c r="AD2268" s="57"/>
      <c r="AE2268" s="57"/>
      <c r="AF2268" s="57"/>
    </row>
    <row r="2269" spans="1:32" x14ac:dyDescent="0.2">
      <c r="A2269" s="57"/>
      <c r="B2269" s="57"/>
      <c r="C2269" s="57"/>
      <c r="D2269" s="57"/>
      <c r="E2269" s="57"/>
      <c r="F2269" s="985"/>
      <c r="G2269" s="57"/>
      <c r="H2269" s="57"/>
      <c r="I2269" s="990"/>
      <c r="J2269" s="57"/>
      <c r="K2269" s="57"/>
      <c r="L2269" s="57"/>
      <c r="M2269" s="57"/>
      <c r="N2269" s="57"/>
      <c r="O2269" s="57"/>
      <c r="P2269" s="57"/>
      <c r="Q2269" s="57"/>
      <c r="R2269" s="57"/>
      <c r="S2269" s="57"/>
      <c r="T2269" s="57"/>
      <c r="U2269" s="57"/>
      <c r="V2269" s="57"/>
      <c r="W2269" s="57"/>
      <c r="X2269" s="57"/>
      <c r="Y2269" s="57"/>
      <c r="Z2269" s="57"/>
      <c r="AA2269" s="57"/>
      <c r="AB2269" s="57"/>
      <c r="AC2269" s="57"/>
      <c r="AD2269" s="57"/>
      <c r="AE2269" s="57"/>
      <c r="AF2269" s="57"/>
    </row>
    <row r="2270" spans="1:32" x14ac:dyDescent="0.2">
      <c r="A2270" s="57"/>
      <c r="B2270" s="57"/>
      <c r="C2270" s="57"/>
      <c r="D2270" s="57"/>
      <c r="E2270" s="57"/>
      <c r="F2270" s="985"/>
      <c r="G2270" s="57"/>
      <c r="H2270" s="57"/>
      <c r="I2270" s="990"/>
      <c r="J2270" s="57"/>
      <c r="K2270" s="57"/>
      <c r="L2270" s="57"/>
      <c r="M2270" s="57"/>
      <c r="N2270" s="57"/>
      <c r="O2270" s="57"/>
      <c r="P2270" s="57"/>
      <c r="Q2270" s="57"/>
      <c r="R2270" s="57"/>
      <c r="S2270" s="57"/>
      <c r="T2270" s="57"/>
      <c r="U2270" s="57"/>
      <c r="V2270" s="57"/>
      <c r="W2270" s="57"/>
      <c r="X2270" s="57"/>
      <c r="Y2270" s="57"/>
      <c r="Z2270" s="57"/>
      <c r="AA2270" s="57"/>
      <c r="AB2270" s="57"/>
      <c r="AC2270" s="57"/>
      <c r="AD2270" s="57"/>
      <c r="AE2270" s="57"/>
      <c r="AF2270" s="57"/>
    </row>
    <row r="2271" spans="1:32" x14ac:dyDescent="0.2">
      <c r="A2271" s="57"/>
      <c r="B2271" s="57"/>
      <c r="C2271" s="57"/>
      <c r="D2271" s="57"/>
      <c r="E2271" s="57"/>
      <c r="F2271" s="985"/>
      <c r="G2271" s="57"/>
      <c r="H2271" s="57"/>
      <c r="I2271" s="990"/>
      <c r="J2271" s="57"/>
      <c r="K2271" s="57"/>
      <c r="L2271" s="57"/>
      <c r="M2271" s="57"/>
      <c r="N2271" s="57"/>
      <c r="O2271" s="57"/>
      <c r="P2271" s="57"/>
      <c r="Q2271" s="57"/>
      <c r="R2271" s="57"/>
      <c r="S2271" s="57"/>
      <c r="T2271" s="57"/>
      <c r="U2271" s="57"/>
      <c r="V2271" s="57"/>
      <c r="W2271" s="57"/>
      <c r="X2271" s="57"/>
      <c r="Y2271" s="57"/>
      <c r="Z2271" s="57"/>
      <c r="AA2271" s="57"/>
      <c r="AB2271" s="57"/>
      <c r="AC2271" s="57"/>
      <c r="AD2271" s="57"/>
      <c r="AE2271" s="57"/>
      <c r="AF2271" s="57"/>
    </row>
    <row r="2272" spans="1:32" x14ac:dyDescent="0.2">
      <c r="A2272" s="57"/>
      <c r="B2272" s="57"/>
      <c r="C2272" s="57"/>
      <c r="D2272" s="57"/>
      <c r="E2272" s="57"/>
      <c r="F2272" s="985"/>
      <c r="G2272" s="57"/>
      <c r="H2272" s="57"/>
      <c r="I2272" s="990"/>
      <c r="J2272" s="57"/>
      <c r="K2272" s="57"/>
      <c r="L2272" s="57"/>
      <c r="M2272" s="57"/>
      <c r="N2272" s="57"/>
      <c r="O2272" s="57"/>
      <c r="P2272" s="57"/>
      <c r="Q2272" s="57"/>
      <c r="R2272" s="57"/>
      <c r="S2272" s="57"/>
      <c r="T2272" s="57"/>
      <c r="U2272" s="57"/>
      <c r="V2272" s="57"/>
      <c r="W2272" s="57"/>
      <c r="X2272" s="57"/>
      <c r="Y2272" s="57"/>
      <c r="Z2272" s="57"/>
      <c r="AA2272" s="57"/>
      <c r="AB2272" s="57"/>
      <c r="AC2272" s="57"/>
      <c r="AD2272" s="57"/>
      <c r="AE2272" s="57"/>
      <c r="AF2272" s="57"/>
    </row>
    <row r="2273" spans="1:32" x14ac:dyDescent="0.2">
      <c r="A2273" s="57"/>
      <c r="B2273" s="57"/>
      <c r="C2273" s="57"/>
      <c r="D2273" s="57"/>
      <c r="E2273" s="57"/>
      <c r="F2273" s="985"/>
      <c r="G2273" s="57"/>
      <c r="H2273" s="57"/>
      <c r="I2273" s="990"/>
      <c r="J2273" s="57"/>
      <c r="K2273" s="57"/>
      <c r="L2273" s="57"/>
      <c r="M2273" s="57"/>
      <c r="N2273" s="57"/>
      <c r="O2273" s="57"/>
      <c r="P2273" s="57"/>
      <c r="Q2273" s="57"/>
      <c r="R2273" s="57"/>
      <c r="S2273" s="57"/>
      <c r="T2273" s="57"/>
      <c r="U2273" s="57"/>
      <c r="V2273" s="57"/>
      <c r="W2273" s="57"/>
      <c r="X2273" s="57"/>
      <c r="Y2273" s="57"/>
      <c r="Z2273" s="57"/>
      <c r="AA2273" s="57"/>
      <c r="AB2273" s="57"/>
      <c r="AC2273" s="57"/>
      <c r="AD2273" s="57"/>
      <c r="AE2273" s="57"/>
      <c r="AF2273" s="57"/>
    </row>
    <row r="2274" spans="1:32" x14ac:dyDescent="0.2">
      <c r="A2274" s="57"/>
      <c r="B2274" s="57"/>
      <c r="C2274" s="57"/>
      <c r="D2274" s="57"/>
      <c r="E2274" s="57"/>
      <c r="F2274" s="985"/>
      <c r="G2274" s="57"/>
      <c r="H2274" s="57"/>
      <c r="I2274" s="990"/>
      <c r="J2274" s="57"/>
      <c r="K2274" s="57"/>
      <c r="L2274" s="57"/>
      <c r="M2274" s="57"/>
      <c r="N2274" s="57"/>
      <c r="O2274" s="57"/>
      <c r="P2274" s="57"/>
      <c r="Q2274" s="57"/>
      <c r="R2274" s="57"/>
      <c r="S2274" s="57"/>
      <c r="T2274" s="57"/>
      <c r="U2274" s="57"/>
      <c r="V2274" s="57"/>
      <c r="W2274" s="57"/>
      <c r="X2274" s="57"/>
      <c r="Y2274" s="57"/>
      <c r="Z2274" s="57"/>
      <c r="AA2274" s="57"/>
      <c r="AB2274" s="57"/>
      <c r="AC2274" s="57"/>
      <c r="AD2274" s="57"/>
      <c r="AE2274" s="57"/>
      <c r="AF2274" s="57"/>
    </row>
    <row r="2275" spans="1:32" x14ac:dyDescent="0.2">
      <c r="A2275" s="57"/>
      <c r="B2275" s="57"/>
      <c r="C2275" s="57"/>
      <c r="D2275" s="57"/>
      <c r="E2275" s="57"/>
      <c r="F2275" s="985"/>
      <c r="G2275" s="57"/>
      <c r="H2275" s="57"/>
      <c r="I2275" s="990"/>
      <c r="J2275" s="57"/>
      <c r="K2275" s="57"/>
      <c r="L2275" s="57"/>
      <c r="M2275" s="57"/>
      <c r="N2275" s="57"/>
      <c r="O2275" s="57"/>
      <c r="P2275" s="57"/>
      <c r="Q2275" s="57"/>
      <c r="R2275" s="57"/>
      <c r="S2275" s="57"/>
      <c r="T2275" s="57"/>
      <c r="U2275" s="57"/>
      <c r="V2275" s="57"/>
      <c r="W2275" s="57"/>
      <c r="X2275" s="57"/>
      <c r="Y2275" s="57"/>
      <c r="Z2275" s="57"/>
      <c r="AA2275" s="57"/>
      <c r="AB2275" s="57"/>
      <c r="AC2275" s="57"/>
      <c r="AD2275" s="57"/>
      <c r="AE2275" s="57"/>
      <c r="AF2275" s="57"/>
    </row>
    <row r="2276" spans="1:32" x14ac:dyDescent="0.2">
      <c r="A2276" s="57"/>
      <c r="B2276" s="57"/>
      <c r="C2276" s="57"/>
      <c r="D2276" s="57"/>
      <c r="E2276" s="57"/>
      <c r="F2276" s="985"/>
      <c r="G2276" s="57"/>
      <c r="H2276" s="57"/>
      <c r="I2276" s="990"/>
      <c r="J2276" s="57"/>
      <c r="K2276" s="57"/>
      <c r="L2276" s="57"/>
      <c r="M2276" s="57"/>
      <c r="N2276" s="57"/>
      <c r="O2276" s="57"/>
      <c r="P2276" s="57"/>
      <c r="Q2276" s="57"/>
      <c r="R2276" s="57"/>
      <c r="S2276" s="57"/>
      <c r="T2276" s="57"/>
      <c r="U2276" s="57"/>
      <c r="V2276" s="57"/>
      <c r="W2276" s="57"/>
      <c r="X2276" s="57"/>
      <c r="Y2276" s="57"/>
      <c r="Z2276" s="57"/>
      <c r="AA2276" s="57"/>
      <c r="AB2276" s="57"/>
      <c r="AC2276" s="57"/>
      <c r="AD2276" s="57"/>
      <c r="AE2276" s="57"/>
      <c r="AF2276" s="57"/>
    </row>
    <row r="2277" spans="1:32" x14ac:dyDescent="0.2">
      <c r="A2277" s="57"/>
      <c r="B2277" s="57"/>
      <c r="C2277" s="57"/>
      <c r="D2277" s="57"/>
      <c r="E2277" s="57"/>
      <c r="F2277" s="985"/>
      <c r="G2277" s="57"/>
      <c r="H2277" s="57"/>
      <c r="I2277" s="990"/>
      <c r="J2277" s="57"/>
      <c r="K2277" s="57"/>
      <c r="L2277" s="57"/>
      <c r="M2277" s="57"/>
      <c r="N2277" s="57"/>
      <c r="O2277" s="57"/>
      <c r="P2277" s="57"/>
      <c r="Q2277" s="57"/>
      <c r="R2277" s="57"/>
      <c r="S2277" s="57"/>
      <c r="T2277" s="57"/>
      <c r="U2277" s="57"/>
      <c r="V2277" s="57"/>
      <c r="W2277" s="57"/>
      <c r="X2277" s="57"/>
      <c r="Y2277" s="57"/>
      <c r="Z2277" s="57"/>
      <c r="AA2277" s="57"/>
      <c r="AB2277" s="57"/>
      <c r="AC2277" s="57"/>
      <c r="AD2277" s="57"/>
      <c r="AE2277" s="57"/>
      <c r="AF2277" s="57"/>
    </row>
    <row r="2278" spans="1:32" x14ac:dyDescent="0.2">
      <c r="A2278" s="57"/>
      <c r="B2278" s="57"/>
      <c r="C2278" s="57"/>
      <c r="D2278" s="57"/>
      <c r="E2278" s="57"/>
      <c r="F2278" s="985"/>
      <c r="G2278" s="57"/>
      <c r="H2278" s="57"/>
      <c r="I2278" s="990"/>
      <c r="J2278" s="57"/>
      <c r="K2278" s="57"/>
      <c r="L2278" s="57"/>
      <c r="M2278" s="57"/>
      <c r="N2278" s="57"/>
      <c r="O2278" s="57"/>
      <c r="P2278" s="57"/>
      <c r="Q2278" s="57"/>
      <c r="R2278" s="57"/>
      <c r="S2278" s="57"/>
      <c r="T2278" s="57"/>
      <c r="U2278" s="57"/>
      <c r="V2278" s="57"/>
      <c r="W2278" s="57"/>
      <c r="X2278" s="57"/>
      <c r="Y2278" s="57"/>
      <c r="Z2278" s="57"/>
      <c r="AA2278" s="57"/>
      <c r="AB2278" s="57"/>
      <c r="AC2278" s="57"/>
      <c r="AD2278" s="57"/>
      <c r="AE2278" s="57"/>
      <c r="AF2278" s="57"/>
    </row>
    <row r="2279" spans="1:32" x14ac:dyDescent="0.2">
      <c r="A2279" s="57"/>
      <c r="B2279" s="57"/>
      <c r="C2279" s="57"/>
      <c r="D2279" s="57"/>
      <c r="E2279" s="57"/>
      <c r="F2279" s="985"/>
      <c r="G2279" s="57"/>
      <c r="H2279" s="57"/>
      <c r="I2279" s="990"/>
      <c r="J2279" s="57"/>
      <c r="K2279" s="57"/>
      <c r="L2279" s="57"/>
      <c r="M2279" s="57"/>
      <c r="N2279" s="57"/>
      <c r="O2279" s="57"/>
      <c r="P2279" s="57"/>
      <c r="Q2279" s="57"/>
      <c r="R2279" s="57"/>
      <c r="S2279" s="57"/>
      <c r="T2279" s="57"/>
      <c r="U2279" s="57"/>
      <c r="V2279" s="57"/>
      <c r="W2279" s="57"/>
      <c r="X2279" s="57"/>
      <c r="Y2279" s="57"/>
      <c r="Z2279" s="57"/>
      <c r="AA2279" s="57"/>
      <c r="AB2279" s="57"/>
      <c r="AC2279" s="57"/>
      <c r="AD2279" s="57"/>
      <c r="AE2279" s="57"/>
      <c r="AF2279" s="57"/>
    </row>
    <row r="2280" spans="1:32" x14ac:dyDescent="0.2">
      <c r="A2280" s="57"/>
      <c r="B2280" s="57"/>
      <c r="C2280" s="57"/>
      <c r="D2280" s="57"/>
      <c r="E2280" s="57"/>
      <c r="F2280" s="985"/>
      <c r="G2280" s="57"/>
      <c r="H2280" s="57"/>
      <c r="I2280" s="990"/>
      <c r="J2280" s="57"/>
      <c r="K2280" s="57"/>
      <c r="L2280" s="57"/>
      <c r="M2280" s="57"/>
      <c r="N2280" s="57"/>
      <c r="O2280" s="57"/>
      <c r="P2280" s="57"/>
      <c r="Q2280" s="57"/>
      <c r="R2280" s="57"/>
      <c r="S2280" s="57"/>
      <c r="T2280" s="57"/>
      <c r="U2280" s="57"/>
      <c r="V2280" s="57"/>
      <c r="W2280" s="57"/>
      <c r="X2280" s="57"/>
      <c r="Y2280" s="57"/>
      <c r="Z2280" s="57"/>
      <c r="AA2280" s="57"/>
      <c r="AB2280" s="57"/>
      <c r="AC2280" s="57"/>
      <c r="AD2280" s="57"/>
      <c r="AE2280" s="57"/>
      <c r="AF2280" s="57"/>
    </row>
    <row r="2281" spans="1:32" x14ac:dyDescent="0.2">
      <c r="A2281" s="57"/>
      <c r="B2281" s="57"/>
      <c r="C2281" s="57"/>
      <c r="D2281" s="57"/>
      <c r="E2281" s="57"/>
      <c r="F2281" s="985"/>
      <c r="G2281" s="57"/>
      <c r="H2281" s="57"/>
      <c r="I2281" s="990"/>
      <c r="J2281" s="57"/>
      <c r="K2281" s="57"/>
      <c r="L2281" s="57"/>
      <c r="M2281" s="57"/>
      <c r="N2281" s="57"/>
      <c r="O2281" s="57"/>
      <c r="P2281" s="57"/>
      <c r="Q2281" s="57"/>
      <c r="R2281" s="57"/>
      <c r="S2281" s="57"/>
      <c r="T2281" s="57"/>
      <c r="U2281" s="57"/>
      <c r="V2281" s="57"/>
      <c r="W2281" s="57"/>
      <c r="X2281" s="57"/>
      <c r="Y2281" s="57"/>
      <c r="Z2281" s="57"/>
      <c r="AA2281" s="57"/>
      <c r="AB2281" s="57"/>
      <c r="AC2281" s="57"/>
      <c r="AD2281" s="57"/>
      <c r="AE2281" s="57"/>
      <c r="AF2281" s="57"/>
    </row>
    <row r="2282" spans="1:32" x14ac:dyDescent="0.2">
      <c r="A2282" s="57"/>
      <c r="B2282" s="57"/>
      <c r="C2282" s="57"/>
      <c r="D2282" s="57"/>
      <c r="E2282" s="57"/>
      <c r="F2282" s="985"/>
      <c r="G2282" s="57"/>
      <c r="H2282" s="57"/>
      <c r="I2282" s="990"/>
      <c r="J2282" s="57"/>
      <c r="K2282" s="57"/>
      <c r="L2282" s="57"/>
      <c r="M2282" s="57"/>
      <c r="N2282" s="57"/>
      <c r="O2282" s="57"/>
      <c r="P2282" s="57"/>
      <c r="Q2282" s="57"/>
      <c r="R2282" s="57"/>
      <c r="S2282" s="57"/>
      <c r="T2282" s="57"/>
      <c r="U2282" s="57"/>
      <c r="V2282" s="57"/>
      <c r="W2282" s="57"/>
      <c r="X2282" s="57"/>
      <c r="Y2282" s="57"/>
      <c r="Z2282" s="57"/>
      <c r="AA2282" s="57"/>
      <c r="AB2282" s="57"/>
      <c r="AC2282" s="57"/>
      <c r="AD2282" s="57"/>
      <c r="AE2282" s="57"/>
      <c r="AF2282" s="57"/>
    </row>
    <row r="2283" spans="1:32" x14ac:dyDescent="0.2">
      <c r="A2283" s="57"/>
      <c r="B2283" s="57"/>
      <c r="C2283" s="57"/>
      <c r="D2283" s="57"/>
      <c r="E2283" s="57"/>
      <c r="F2283" s="985"/>
      <c r="G2283" s="57"/>
      <c r="H2283" s="57"/>
      <c r="I2283" s="990"/>
      <c r="J2283" s="57"/>
      <c r="K2283" s="57"/>
      <c r="L2283" s="57"/>
      <c r="M2283" s="57"/>
      <c r="N2283" s="57"/>
      <c r="O2283" s="57"/>
      <c r="P2283" s="57"/>
      <c r="Q2283" s="57"/>
      <c r="R2283" s="57"/>
      <c r="S2283" s="57"/>
      <c r="T2283" s="57"/>
      <c r="U2283" s="57"/>
      <c r="V2283" s="57"/>
      <c r="W2283" s="57"/>
      <c r="X2283" s="57"/>
      <c r="Y2283" s="57"/>
      <c r="Z2283" s="57"/>
      <c r="AA2283" s="57"/>
      <c r="AB2283" s="57"/>
      <c r="AC2283" s="57"/>
      <c r="AD2283" s="57"/>
      <c r="AE2283" s="57"/>
      <c r="AF2283" s="57"/>
    </row>
    <row r="2284" spans="1:32" x14ac:dyDescent="0.2">
      <c r="A2284" s="57"/>
      <c r="B2284" s="57"/>
      <c r="C2284" s="57"/>
      <c r="D2284" s="57"/>
      <c r="E2284" s="57"/>
      <c r="F2284" s="985"/>
      <c r="G2284" s="57"/>
      <c r="H2284" s="57"/>
      <c r="I2284" s="990"/>
      <c r="J2284" s="57"/>
      <c r="K2284" s="57"/>
      <c r="L2284" s="57"/>
      <c r="M2284" s="57"/>
      <c r="N2284" s="57"/>
      <c r="O2284" s="57"/>
      <c r="P2284" s="57"/>
      <c r="Q2284" s="57"/>
      <c r="R2284" s="57"/>
      <c r="S2284" s="57"/>
      <c r="T2284" s="57"/>
      <c r="U2284" s="57"/>
      <c r="V2284" s="57"/>
      <c r="W2284" s="57"/>
      <c r="X2284" s="57"/>
      <c r="Y2284" s="57"/>
      <c r="Z2284" s="57"/>
      <c r="AA2284" s="57"/>
      <c r="AB2284" s="57"/>
      <c r="AC2284" s="57"/>
      <c r="AD2284" s="57"/>
      <c r="AE2284" s="57"/>
      <c r="AF2284" s="57"/>
    </row>
    <row r="2285" spans="1:32" x14ac:dyDescent="0.2">
      <c r="A2285" s="57"/>
      <c r="B2285" s="57"/>
      <c r="C2285" s="57"/>
      <c r="D2285" s="57"/>
      <c r="E2285" s="57"/>
      <c r="F2285" s="985"/>
      <c r="G2285" s="57"/>
      <c r="H2285" s="57"/>
      <c r="I2285" s="990"/>
      <c r="J2285" s="57"/>
      <c r="K2285" s="57"/>
      <c r="L2285" s="57"/>
      <c r="M2285" s="57"/>
      <c r="N2285" s="57"/>
      <c r="O2285" s="57"/>
      <c r="P2285" s="57"/>
      <c r="Q2285" s="57"/>
      <c r="R2285" s="57"/>
      <c r="S2285" s="57"/>
      <c r="T2285" s="57"/>
      <c r="U2285" s="57"/>
      <c r="V2285" s="57"/>
      <c r="W2285" s="57"/>
      <c r="X2285" s="57"/>
      <c r="Y2285" s="57"/>
      <c r="Z2285" s="57"/>
      <c r="AA2285" s="57"/>
      <c r="AB2285" s="57"/>
      <c r="AC2285" s="57"/>
      <c r="AD2285" s="57"/>
      <c r="AE2285" s="57"/>
      <c r="AF2285" s="57"/>
    </row>
    <row r="2286" spans="1:32" x14ac:dyDescent="0.2">
      <c r="A2286" s="57"/>
      <c r="B2286" s="57"/>
      <c r="C2286" s="57"/>
      <c r="D2286" s="57"/>
      <c r="E2286" s="57"/>
      <c r="F2286" s="985"/>
      <c r="G2286" s="57"/>
      <c r="H2286" s="57"/>
      <c r="I2286" s="990"/>
      <c r="J2286" s="57"/>
      <c r="K2286" s="57"/>
      <c r="L2286" s="57"/>
      <c r="M2286" s="57"/>
      <c r="N2286" s="57"/>
      <c r="O2286" s="57"/>
      <c r="P2286" s="57"/>
      <c r="Q2286" s="57"/>
      <c r="R2286" s="57"/>
      <c r="S2286" s="57"/>
      <c r="T2286" s="57"/>
      <c r="U2286" s="57"/>
      <c r="V2286" s="57"/>
      <c r="W2286" s="57"/>
      <c r="X2286" s="57"/>
      <c r="Y2286" s="57"/>
      <c r="Z2286" s="57"/>
      <c r="AA2286" s="57"/>
      <c r="AB2286" s="57"/>
      <c r="AC2286" s="57"/>
      <c r="AD2286" s="57"/>
      <c r="AE2286" s="57"/>
      <c r="AF2286" s="57"/>
    </row>
    <row r="2287" spans="1:32" x14ac:dyDescent="0.2">
      <c r="A2287" s="57"/>
      <c r="B2287" s="57"/>
      <c r="C2287" s="57"/>
      <c r="D2287" s="57"/>
      <c r="E2287" s="57"/>
      <c r="F2287" s="985"/>
      <c r="G2287" s="57"/>
      <c r="H2287" s="57"/>
      <c r="I2287" s="990"/>
      <c r="J2287" s="57"/>
      <c r="K2287" s="57"/>
      <c r="L2287" s="57"/>
      <c r="M2287" s="57"/>
      <c r="N2287" s="57"/>
      <c r="O2287" s="57"/>
      <c r="P2287" s="57"/>
      <c r="Q2287" s="57"/>
      <c r="R2287" s="57"/>
      <c r="S2287" s="57"/>
      <c r="T2287" s="57"/>
      <c r="U2287" s="57"/>
      <c r="V2287" s="57"/>
      <c r="W2287" s="57"/>
      <c r="X2287" s="57"/>
      <c r="Y2287" s="57"/>
      <c r="Z2287" s="57"/>
      <c r="AA2287" s="57"/>
      <c r="AB2287" s="57"/>
      <c r="AC2287" s="57"/>
      <c r="AD2287" s="57"/>
      <c r="AE2287" s="57"/>
      <c r="AF2287" s="57"/>
    </row>
    <row r="2288" spans="1:32" x14ac:dyDescent="0.2">
      <c r="A2288" s="57"/>
      <c r="B2288" s="57"/>
      <c r="C2288" s="57"/>
      <c r="D2288" s="57"/>
      <c r="E2288" s="57"/>
      <c r="F2288" s="985"/>
      <c r="G2288" s="57"/>
      <c r="H2288" s="57"/>
      <c r="I2288" s="990"/>
      <c r="J2288" s="57"/>
      <c r="K2288" s="57"/>
      <c r="L2288" s="57"/>
      <c r="M2288" s="57"/>
      <c r="N2288" s="57"/>
      <c r="O2288" s="57"/>
      <c r="P2288" s="57"/>
      <c r="Q2288" s="57"/>
      <c r="R2288" s="57"/>
      <c r="S2288" s="57"/>
      <c r="T2288" s="57"/>
      <c r="U2288" s="57"/>
      <c r="V2288" s="57"/>
      <c r="W2288" s="57"/>
      <c r="X2288" s="57"/>
      <c r="Y2288" s="57"/>
      <c r="Z2288" s="57"/>
      <c r="AA2288" s="57"/>
      <c r="AB2288" s="57"/>
      <c r="AC2288" s="57"/>
      <c r="AD2288" s="57"/>
      <c r="AE2288" s="57"/>
      <c r="AF2288" s="57"/>
    </row>
    <row r="2289" spans="1:32" x14ac:dyDescent="0.2">
      <c r="A2289" s="57"/>
      <c r="B2289" s="57"/>
      <c r="C2289" s="57"/>
      <c r="D2289" s="57"/>
      <c r="E2289" s="57"/>
      <c r="F2289" s="985"/>
      <c r="G2289" s="57"/>
      <c r="H2289" s="57"/>
      <c r="I2289" s="990"/>
      <c r="J2289" s="57"/>
      <c r="K2289" s="57"/>
      <c r="L2289" s="57"/>
      <c r="M2289" s="57"/>
      <c r="N2289" s="57"/>
      <c r="O2289" s="57"/>
      <c r="P2289" s="57"/>
      <c r="Q2289" s="57"/>
      <c r="R2289" s="57"/>
      <c r="S2289" s="57"/>
      <c r="T2289" s="57"/>
      <c r="U2289" s="57"/>
      <c r="V2289" s="57"/>
      <c r="W2289" s="57"/>
      <c r="X2289" s="57"/>
      <c r="Y2289" s="57"/>
      <c r="Z2289" s="57"/>
      <c r="AA2289" s="57"/>
      <c r="AB2289" s="57"/>
      <c r="AC2289" s="57"/>
      <c r="AD2289" s="57"/>
      <c r="AE2289" s="57"/>
      <c r="AF2289" s="57"/>
    </row>
    <row r="2290" spans="1:32" x14ac:dyDescent="0.2">
      <c r="A2290" s="57"/>
      <c r="B2290" s="57"/>
      <c r="C2290" s="57"/>
      <c r="D2290" s="57"/>
      <c r="E2290" s="57"/>
      <c r="F2290" s="985"/>
      <c r="G2290" s="57"/>
      <c r="H2290" s="57"/>
      <c r="I2290" s="990"/>
      <c r="J2290" s="57"/>
      <c r="K2290" s="57"/>
      <c r="L2290" s="57"/>
      <c r="M2290" s="57"/>
      <c r="N2290" s="57"/>
      <c r="O2290" s="57"/>
      <c r="P2290" s="57"/>
      <c r="Q2290" s="57"/>
      <c r="R2290" s="57"/>
      <c r="S2290" s="57"/>
      <c r="T2290" s="57"/>
      <c r="U2290" s="57"/>
      <c r="V2290" s="57"/>
      <c r="W2290" s="57"/>
      <c r="X2290" s="57"/>
      <c r="Y2290" s="57"/>
      <c r="Z2290" s="57"/>
      <c r="AA2290" s="57"/>
      <c r="AB2290" s="57"/>
      <c r="AC2290" s="57"/>
      <c r="AD2290" s="57"/>
      <c r="AE2290" s="57"/>
      <c r="AF2290" s="57"/>
    </row>
    <row r="2291" spans="1:32" x14ac:dyDescent="0.2">
      <c r="A2291" s="57"/>
      <c r="B2291" s="57"/>
      <c r="C2291" s="57"/>
      <c r="D2291" s="57"/>
      <c r="E2291" s="57"/>
      <c r="F2291" s="985"/>
      <c r="G2291" s="57"/>
      <c r="H2291" s="57"/>
      <c r="I2291" s="990"/>
      <c r="J2291" s="57"/>
      <c r="K2291" s="57"/>
      <c r="L2291" s="57"/>
      <c r="M2291" s="57"/>
      <c r="N2291" s="57"/>
      <c r="O2291" s="57"/>
      <c r="P2291" s="57"/>
      <c r="Q2291" s="57"/>
      <c r="R2291" s="57"/>
      <c r="S2291" s="57"/>
      <c r="T2291" s="57"/>
      <c r="U2291" s="57"/>
      <c r="V2291" s="57"/>
      <c r="W2291" s="57"/>
      <c r="X2291" s="57"/>
      <c r="Y2291" s="57"/>
      <c r="Z2291" s="57"/>
      <c r="AA2291" s="57"/>
      <c r="AB2291" s="57"/>
      <c r="AC2291" s="57"/>
      <c r="AD2291" s="57"/>
      <c r="AE2291" s="57"/>
      <c r="AF2291" s="57"/>
    </row>
    <row r="2292" spans="1:32" x14ac:dyDescent="0.2">
      <c r="A2292" s="57"/>
      <c r="B2292" s="57"/>
      <c r="C2292" s="57"/>
      <c r="D2292" s="57"/>
      <c r="E2292" s="57"/>
      <c r="F2292" s="985"/>
      <c r="G2292" s="57"/>
      <c r="H2292" s="57"/>
      <c r="I2292" s="990"/>
      <c r="J2292" s="57"/>
      <c r="K2292" s="57"/>
      <c r="L2292" s="57"/>
      <c r="M2292" s="57"/>
      <c r="N2292" s="57"/>
      <c r="O2292" s="57"/>
      <c r="P2292" s="57"/>
      <c r="Q2292" s="57"/>
      <c r="R2292" s="57"/>
      <c r="S2292" s="57"/>
      <c r="T2292" s="57"/>
      <c r="U2292" s="57"/>
      <c r="V2292" s="57"/>
      <c r="W2292" s="57"/>
      <c r="X2292" s="57"/>
      <c r="Y2292" s="57"/>
      <c r="Z2292" s="57"/>
      <c r="AA2292" s="57"/>
      <c r="AB2292" s="57"/>
      <c r="AC2292" s="57"/>
      <c r="AD2292" s="57"/>
      <c r="AE2292" s="57"/>
      <c r="AF2292" s="57"/>
    </row>
    <row r="2293" spans="1:32" x14ac:dyDescent="0.2">
      <c r="A2293" s="57"/>
      <c r="B2293" s="57"/>
      <c r="C2293" s="57"/>
      <c r="D2293" s="57"/>
      <c r="E2293" s="57"/>
      <c r="F2293" s="985"/>
      <c r="G2293" s="57"/>
      <c r="H2293" s="57"/>
      <c r="I2293" s="990"/>
      <c r="J2293" s="57"/>
      <c r="K2293" s="57"/>
      <c r="L2293" s="57"/>
      <c r="M2293" s="57"/>
      <c r="N2293" s="57"/>
      <c r="O2293" s="57"/>
      <c r="P2293" s="57"/>
      <c r="Q2293" s="57"/>
      <c r="R2293" s="57"/>
      <c r="S2293" s="57"/>
      <c r="T2293" s="57"/>
      <c r="U2293" s="57"/>
      <c r="V2293" s="57"/>
      <c r="W2293" s="57"/>
      <c r="X2293" s="57"/>
      <c r="Y2293" s="57"/>
      <c r="Z2293" s="57"/>
      <c r="AA2293" s="57"/>
      <c r="AB2293" s="57"/>
      <c r="AC2293" s="57"/>
      <c r="AD2293" s="57"/>
      <c r="AE2293" s="57"/>
      <c r="AF2293" s="57"/>
    </row>
    <row r="2294" spans="1:32" x14ac:dyDescent="0.2">
      <c r="A2294" s="57"/>
      <c r="B2294" s="57"/>
      <c r="C2294" s="57"/>
      <c r="D2294" s="57"/>
      <c r="E2294" s="57"/>
      <c r="F2294" s="985"/>
      <c r="G2294" s="57"/>
      <c r="H2294" s="57"/>
      <c r="I2294" s="990"/>
      <c r="J2294" s="57"/>
      <c r="K2294" s="57"/>
      <c r="L2294" s="57"/>
      <c r="M2294" s="57"/>
      <c r="N2294" s="57"/>
      <c r="O2294" s="57"/>
      <c r="P2294" s="57"/>
      <c r="Q2294" s="57"/>
      <c r="R2294" s="57"/>
      <c r="S2294" s="57"/>
      <c r="T2294" s="57"/>
      <c r="U2294" s="57"/>
      <c r="V2294" s="57"/>
      <c r="W2294" s="57"/>
      <c r="X2294" s="57"/>
      <c r="Y2294" s="57"/>
      <c r="Z2294" s="57"/>
      <c r="AA2294" s="57"/>
      <c r="AB2294" s="57"/>
      <c r="AC2294" s="57"/>
      <c r="AD2294" s="57"/>
      <c r="AE2294" s="57"/>
      <c r="AF2294" s="57"/>
    </row>
    <row r="2295" spans="1:32" x14ac:dyDescent="0.2">
      <c r="A2295" s="57"/>
      <c r="B2295" s="57"/>
      <c r="C2295" s="57"/>
      <c r="D2295" s="57"/>
      <c r="E2295" s="57"/>
      <c r="F2295" s="985"/>
      <c r="G2295" s="57"/>
      <c r="H2295" s="57"/>
      <c r="I2295" s="990"/>
      <c r="J2295" s="57"/>
      <c r="K2295" s="57"/>
      <c r="L2295" s="57"/>
      <c r="M2295" s="57"/>
      <c r="N2295" s="57"/>
      <c r="O2295" s="57"/>
      <c r="P2295" s="57"/>
      <c r="Q2295" s="57"/>
      <c r="R2295" s="57"/>
      <c r="S2295" s="57"/>
      <c r="T2295" s="57"/>
      <c r="U2295" s="57"/>
      <c r="V2295" s="57"/>
      <c r="W2295" s="57"/>
      <c r="X2295" s="57"/>
      <c r="Y2295" s="57"/>
      <c r="Z2295" s="57"/>
      <c r="AA2295" s="57"/>
      <c r="AB2295" s="57"/>
      <c r="AC2295" s="57"/>
      <c r="AD2295" s="57"/>
      <c r="AE2295" s="57"/>
      <c r="AF2295" s="57"/>
    </row>
    <row r="2296" spans="1:32" x14ac:dyDescent="0.2">
      <c r="A2296" s="57"/>
      <c r="B2296" s="57"/>
      <c r="C2296" s="57"/>
      <c r="D2296" s="57"/>
      <c r="E2296" s="57"/>
      <c r="F2296" s="985"/>
      <c r="G2296" s="57"/>
      <c r="H2296" s="57"/>
      <c r="I2296" s="990"/>
      <c r="J2296" s="57"/>
      <c r="K2296" s="57"/>
      <c r="L2296" s="57"/>
      <c r="M2296" s="57"/>
      <c r="N2296" s="57"/>
      <c r="O2296" s="57"/>
      <c r="P2296" s="57"/>
      <c r="Q2296" s="57"/>
      <c r="R2296" s="57"/>
      <c r="S2296" s="57"/>
      <c r="T2296" s="57"/>
      <c r="U2296" s="57"/>
      <c r="V2296" s="57"/>
      <c r="W2296" s="57"/>
      <c r="X2296" s="57"/>
      <c r="Y2296" s="57"/>
      <c r="Z2296" s="57"/>
      <c r="AA2296" s="57"/>
      <c r="AB2296" s="57"/>
      <c r="AC2296" s="57"/>
      <c r="AD2296" s="57"/>
      <c r="AE2296" s="57"/>
      <c r="AF2296" s="57"/>
    </row>
    <row r="2297" spans="1:32" x14ac:dyDescent="0.2">
      <c r="A2297" s="57"/>
      <c r="B2297" s="57"/>
      <c r="C2297" s="57"/>
      <c r="D2297" s="57"/>
      <c r="E2297" s="57"/>
      <c r="F2297" s="985"/>
      <c r="G2297" s="57"/>
      <c r="H2297" s="57"/>
      <c r="I2297" s="990"/>
      <c r="J2297" s="57"/>
      <c r="K2297" s="57"/>
      <c r="L2297" s="57"/>
      <c r="M2297" s="57"/>
      <c r="N2297" s="57"/>
      <c r="O2297" s="57"/>
      <c r="P2297" s="57"/>
      <c r="Q2297" s="57"/>
      <c r="R2297" s="57"/>
      <c r="S2297" s="57"/>
      <c r="T2297" s="57"/>
      <c r="U2297" s="57"/>
      <c r="V2297" s="57"/>
      <c r="W2297" s="57"/>
      <c r="X2297" s="57"/>
      <c r="Y2297" s="57"/>
      <c r="Z2297" s="57"/>
      <c r="AA2297" s="57"/>
      <c r="AB2297" s="57"/>
      <c r="AC2297" s="57"/>
      <c r="AD2297" s="57"/>
      <c r="AE2297" s="57"/>
      <c r="AF2297" s="57"/>
    </row>
    <row r="2298" spans="1:32" x14ac:dyDescent="0.2">
      <c r="A2298" s="57"/>
      <c r="B2298" s="57"/>
      <c r="C2298" s="57"/>
      <c r="D2298" s="57"/>
      <c r="E2298" s="57"/>
      <c r="F2298" s="985"/>
      <c r="G2298" s="57"/>
      <c r="H2298" s="57"/>
      <c r="I2298" s="990"/>
      <c r="J2298" s="57"/>
      <c r="K2298" s="57"/>
      <c r="L2298" s="57"/>
      <c r="M2298" s="57"/>
      <c r="N2298" s="57"/>
      <c r="O2298" s="57"/>
      <c r="P2298" s="57"/>
      <c r="Q2298" s="57"/>
      <c r="R2298" s="57"/>
      <c r="S2298" s="57"/>
      <c r="T2298" s="57"/>
      <c r="U2298" s="57"/>
      <c r="V2298" s="57"/>
      <c r="W2298" s="57"/>
      <c r="X2298" s="57"/>
      <c r="Y2298" s="57"/>
      <c r="Z2298" s="57"/>
      <c r="AA2298" s="57"/>
      <c r="AB2298" s="57"/>
      <c r="AC2298" s="57"/>
      <c r="AD2298" s="57"/>
      <c r="AE2298" s="57"/>
      <c r="AF2298" s="57"/>
    </row>
    <row r="2299" spans="1:32" x14ac:dyDescent="0.2">
      <c r="A2299" s="57"/>
      <c r="B2299" s="57"/>
      <c r="C2299" s="57"/>
      <c r="D2299" s="57"/>
      <c r="E2299" s="57"/>
      <c r="F2299" s="985"/>
      <c r="G2299" s="57"/>
      <c r="H2299" s="57"/>
      <c r="I2299" s="990"/>
      <c r="J2299" s="57"/>
      <c r="K2299" s="57"/>
      <c r="L2299" s="57"/>
      <c r="M2299" s="57"/>
      <c r="N2299" s="57"/>
      <c r="O2299" s="57"/>
      <c r="P2299" s="57"/>
      <c r="Q2299" s="57"/>
      <c r="R2299" s="57"/>
      <c r="S2299" s="57"/>
      <c r="T2299" s="57"/>
      <c r="U2299" s="57"/>
      <c r="V2299" s="57"/>
      <c r="W2299" s="57"/>
      <c r="X2299" s="57"/>
      <c r="Y2299" s="57"/>
      <c r="Z2299" s="57"/>
      <c r="AA2299" s="57"/>
      <c r="AB2299" s="57"/>
      <c r="AC2299" s="57"/>
      <c r="AD2299" s="57"/>
      <c r="AE2299" s="57"/>
      <c r="AF2299" s="57"/>
    </row>
    <row r="2300" spans="1:32" x14ac:dyDescent="0.2">
      <c r="A2300" s="57"/>
      <c r="B2300" s="57"/>
      <c r="C2300" s="57"/>
      <c r="D2300" s="57"/>
      <c r="E2300" s="57"/>
      <c r="F2300" s="985"/>
      <c r="G2300" s="57"/>
      <c r="H2300" s="57"/>
      <c r="I2300" s="990"/>
      <c r="J2300" s="57"/>
      <c r="K2300" s="57"/>
      <c r="L2300" s="57"/>
      <c r="M2300" s="57"/>
      <c r="N2300" s="57"/>
      <c r="O2300" s="57"/>
      <c r="P2300" s="57"/>
      <c r="Q2300" s="57"/>
      <c r="R2300" s="57"/>
      <c r="S2300" s="57"/>
      <c r="T2300" s="57"/>
      <c r="U2300" s="57"/>
      <c r="V2300" s="57"/>
      <c r="W2300" s="57"/>
      <c r="X2300" s="57"/>
      <c r="Y2300" s="57"/>
      <c r="Z2300" s="57"/>
      <c r="AA2300" s="57"/>
      <c r="AB2300" s="57"/>
      <c r="AC2300" s="57"/>
      <c r="AD2300" s="57"/>
      <c r="AE2300" s="57"/>
      <c r="AF2300" s="57"/>
    </row>
    <row r="2301" spans="1:32" x14ac:dyDescent="0.2">
      <c r="A2301" s="57"/>
      <c r="B2301" s="57"/>
      <c r="C2301" s="57"/>
      <c r="D2301" s="57"/>
      <c r="E2301" s="57"/>
      <c r="F2301" s="985"/>
      <c r="G2301" s="57"/>
      <c r="H2301" s="57"/>
      <c r="I2301" s="990"/>
      <c r="J2301" s="57"/>
      <c r="K2301" s="57"/>
      <c r="L2301" s="57"/>
      <c r="M2301" s="57"/>
      <c r="N2301" s="57"/>
      <c r="O2301" s="57"/>
      <c r="P2301" s="57"/>
      <c r="Q2301" s="57"/>
      <c r="R2301" s="57"/>
      <c r="S2301" s="57"/>
      <c r="T2301" s="57"/>
      <c r="U2301" s="57"/>
      <c r="V2301" s="57"/>
      <c r="W2301" s="57"/>
      <c r="X2301" s="57"/>
      <c r="Y2301" s="57"/>
      <c r="Z2301" s="57"/>
      <c r="AA2301" s="57"/>
      <c r="AB2301" s="57"/>
      <c r="AC2301" s="57"/>
      <c r="AD2301" s="57"/>
      <c r="AE2301" s="57"/>
      <c r="AF2301" s="57"/>
    </row>
    <row r="2302" spans="1:32" x14ac:dyDescent="0.2">
      <c r="A2302" s="57"/>
      <c r="B2302" s="57"/>
      <c r="C2302" s="57"/>
      <c r="D2302" s="57"/>
      <c r="E2302" s="57"/>
      <c r="F2302" s="985"/>
      <c r="G2302" s="57"/>
      <c r="H2302" s="57"/>
      <c r="I2302" s="990"/>
      <c r="J2302" s="57"/>
      <c r="K2302" s="57"/>
      <c r="L2302" s="57"/>
      <c r="M2302" s="57"/>
      <c r="N2302" s="57"/>
      <c r="O2302" s="57"/>
      <c r="P2302" s="57"/>
      <c r="Q2302" s="57"/>
      <c r="R2302" s="57"/>
      <c r="S2302" s="57"/>
      <c r="T2302" s="57"/>
      <c r="U2302" s="57"/>
      <c r="V2302" s="57"/>
      <c r="W2302" s="57"/>
      <c r="X2302" s="57"/>
      <c r="Y2302" s="57"/>
      <c r="Z2302" s="57"/>
      <c r="AA2302" s="57"/>
      <c r="AB2302" s="57"/>
      <c r="AC2302" s="57"/>
      <c r="AD2302" s="57"/>
      <c r="AE2302" s="57"/>
      <c r="AF2302" s="57"/>
    </row>
    <row r="2303" spans="1:32" x14ac:dyDescent="0.2">
      <c r="A2303" s="57"/>
      <c r="B2303" s="57"/>
      <c r="C2303" s="57"/>
      <c r="D2303" s="57"/>
      <c r="E2303" s="57"/>
      <c r="F2303" s="985"/>
      <c r="G2303" s="57"/>
      <c r="H2303" s="57"/>
      <c r="I2303" s="990"/>
      <c r="J2303" s="57"/>
      <c r="K2303" s="57"/>
      <c r="L2303" s="57"/>
      <c r="M2303" s="57"/>
      <c r="N2303" s="57"/>
      <c r="O2303" s="57"/>
      <c r="P2303" s="57"/>
      <c r="Q2303" s="57"/>
      <c r="R2303" s="57"/>
      <c r="S2303" s="57"/>
      <c r="T2303" s="57"/>
      <c r="U2303" s="57"/>
      <c r="V2303" s="57"/>
      <c r="W2303" s="57"/>
      <c r="X2303" s="57"/>
      <c r="Y2303" s="57"/>
      <c r="Z2303" s="57"/>
      <c r="AA2303" s="57"/>
      <c r="AB2303" s="57"/>
      <c r="AC2303" s="57"/>
      <c r="AD2303" s="57"/>
      <c r="AE2303" s="57"/>
      <c r="AF2303" s="57"/>
    </row>
    <row r="2304" spans="1:32" x14ac:dyDescent="0.2">
      <c r="A2304" s="57"/>
      <c r="B2304" s="57"/>
      <c r="C2304" s="57"/>
      <c r="D2304" s="57"/>
      <c r="E2304" s="57"/>
      <c r="F2304" s="985"/>
      <c r="G2304" s="57"/>
      <c r="H2304" s="57"/>
      <c r="I2304" s="990"/>
      <c r="J2304" s="57"/>
      <c r="K2304" s="57"/>
      <c r="L2304" s="57"/>
      <c r="M2304" s="57"/>
      <c r="N2304" s="57"/>
      <c r="O2304" s="57"/>
      <c r="P2304" s="57"/>
      <c r="Q2304" s="57"/>
      <c r="R2304" s="57"/>
      <c r="S2304" s="57"/>
      <c r="T2304" s="57"/>
      <c r="U2304" s="57"/>
      <c r="V2304" s="57"/>
      <c r="W2304" s="57"/>
      <c r="X2304" s="57"/>
      <c r="Y2304" s="57"/>
      <c r="Z2304" s="57"/>
      <c r="AA2304" s="57"/>
      <c r="AB2304" s="57"/>
      <c r="AC2304" s="57"/>
      <c r="AD2304" s="57"/>
      <c r="AE2304" s="57"/>
      <c r="AF2304" s="57"/>
    </row>
    <row r="2305" spans="1:32" x14ac:dyDescent="0.2">
      <c r="A2305" s="57"/>
      <c r="B2305" s="57"/>
      <c r="C2305" s="57"/>
      <c r="D2305" s="57"/>
      <c r="E2305" s="57"/>
      <c r="F2305" s="985"/>
      <c r="G2305" s="57"/>
      <c r="H2305" s="57"/>
      <c r="I2305" s="990"/>
      <c r="J2305" s="57"/>
      <c r="K2305" s="57"/>
      <c r="L2305" s="57"/>
      <c r="M2305" s="57"/>
      <c r="N2305" s="57"/>
      <c r="O2305" s="57"/>
      <c r="P2305" s="57"/>
      <c r="Q2305" s="57"/>
      <c r="R2305" s="57"/>
      <c r="S2305" s="57"/>
      <c r="T2305" s="57"/>
      <c r="U2305" s="57"/>
      <c r="V2305" s="57"/>
      <c r="W2305" s="57"/>
      <c r="X2305" s="57"/>
      <c r="Y2305" s="57"/>
      <c r="Z2305" s="57"/>
      <c r="AA2305" s="57"/>
      <c r="AB2305" s="57"/>
      <c r="AC2305" s="57"/>
      <c r="AD2305" s="57"/>
      <c r="AE2305" s="57"/>
      <c r="AF2305" s="57"/>
    </row>
    <row r="2306" spans="1:32" x14ac:dyDescent="0.2">
      <c r="A2306" s="57"/>
      <c r="B2306" s="57"/>
      <c r="C2306" s="57"/>
      <c r="D2306" s="57"/>
      <c r="E2306" s="57"/>
      <c r="F2306" s="985"/>
      <c r="G2306" s="57"/>
      <c r="H2306" s="57"/>
      <c r="I2306" s="990"/>
      <c r="J2306" s="57"/>
      <c r="K2306" s="57"/>
      <c r="L2306" s="57"/>
      <c r="M2306" s="57"/>
      <c r="N2306" s="57"/>
      <c r="O2306" s="57"/>
      <c r="P2306" s="57"/>
      <c r="Q2306" s="57"/>
      <c r="R2306" s="57"/>
      <c r="S2306" s="57"/>
      <c r="T2306" s="57"/>
      <c r="U2306" s="57"/>
      <c r="V2306" s="57"/>
      <c r="W2306" s="57"/>
      <c r="X2306" s="57"/>
      <c r="Y2306" s="57"/>
      <c r="Z2306" s="57"/>
      <c r="AA2306" s="57"/>
      <c r="AB2306" s="57"/>
      <c r="AC2306" s="57"/>
      <c r="AD2306" s="57"/>
      <c r="AE2306" s="57"/>
      <c r="AF2306" s="57"/>
    </row>
    <row r="2307" spans="1:32" x14ac:dyDescent="0.2">
      <c r="A2307" s="57"/>
      <c r="B2307" s="57"/>
      <c r="C2307" s="57"/>
      <c r="D2307" s="57"/>
      <c r="E2307" s="57"/>
      <c r="F2307" s="985"/>
      <c r="G2307" s="57"/>
      <c r="H2307" s="57"/>
      <c r="I2307" s="990"/>
      <c r="J2307" s="57"/>
      <c r="K2307" s="57"/>
      <c r="L2307" s="57"/>
      <c r="M2307" s="57"/>
      <c r="N2307" s="57"/>
      <c r="O2307" s="57"/>
      <c r="P2307" s="57"/>
      <c r="Q2307" s="57"/>
      <c r="R2307" s="57"/>
      <c r="S2307" s="57"/>
      <c r="T2307" s="57"/>
      <c r="U2307" s="57"/>
      <c r="V2307" s="57"/>
      <c r="W2307" s="57"/>
      <c r="X2307" s="57"/>
      <c r="Y2307" s="57"/>
      <c r="Z2307" s="57"/>
      <c r="AA2307" s="57"/>
      <c r="AB2307" s="57"/>
      <c r="AC2307" s="57"/>
      <c r="AD2307" s="57"/>
      <c r="AE2307" s="57"/>
      <c r="AF2307" s="57"/>
    </row>
    <row r="2308" spans="1:32" x14ac:dyDescent="0.2">
      <c r="A2308" s="57"/>
      <c r="B2308" s="57"/>
      <c r="C2308" s="57"/>
      <c r="D2308" s="57"/>
      <c r="E2308" s="57"/>
      <c r="F2308" s="985"/>
      <c r="G2308" s="57"/>
      <c r="H2308" s="57"/>
      <c r="I2308" s="990"/>
      <c r="J2308" s="57"/>
      <c r="K2308" s="57"/>
      <c r="L2308" s="57"/>
      <c r="M2308" s="57"/>
      <c r="N2308" s="57"/>
      <c r="O2308" s="57"/>
      <c r="P2308" s="57"/>
      <c r="Q2308" s="57"/>
      <c r="R2308" s="57"/>
      <c r="S2308" s="57"/>
      <c r="T2308" s="57"/>
      <c r="U2308" s="57"/>
      <c r="V2308" s="57"/>
      <c r="W2308" s="57"/>
      <c r="X2308" s="57"/>
      <c r="Y2308" s="57"/>
      <c r="Z2308" s="57"/>
      <c r="AA2308" s="57"/>
      <c r="AB2308" s="57"/>
      <c r="AC2308" s="57"/>
      <c r="AD2308" s="57"/>
      <c r="AE2308" s="57"/>
      <c r="AF2308" s="57"/>
    </row>
    <row r="2309" spans="1:32" x14ac:dyDescent="0.2">
      <c r="A2309" s="57"/>
      <c r="B2309" s="57"/>
      <c r="C2309" s="57"/>
      <c r="D2309" s="57"/>
      <c r="E2309" s="57"/>
      <c r="F2309" s="985"/>
      <c r="G2309" s="57"/>
      <c r="H2309" s="57"/>
      <c r="I2309" s="990"/>
      <c r="J2309" s="57"/>
      <c r="K2309" s="57"/>
      <c r="L2309" s="57"/>
      <c r="M2309" s="57"/>
      <c r="N2309" s="57"/>
      <c r="O2309" s="57"/>
      <c r="P2309" s="57"/>
      <c r="Q2309" s="57"/>
      <c r="R2309" s="57"/>
      <c r="S2309" s="57"/>
      <c r="T2309" s="57"/>
      <c r="U2309" s="57"/>
      <c r="V2309" s="57"/>
      <c r="W2309" s="57"/>
      <c r="X2309" s="57"/>
      <c r="Y2309" s="57"/>
      <c r="Z2309" s="57"/>
      <c r="AA2309" s="57"/>
      <c r="AB2309" s="57"/>
      <c r="AC2309" s="57"/>
      <c r="AD2309" s="57"/>
      <c r="AE2309" s="57"/>
      <c r="AF2309" s="57"/>
    </row>
    <row r="2310" spans="1:32" x14ac:dyDescent="0.2">
      <c r="A2310" s="57"/>
      <c r="B2310" s="57"/>
      <c r="C2310" s="57"/>
      <c r="D2310" s="57"/>
      <c r="E2310" s="57"/>
      <c r="F2310" s="985"/>
      <c r="G2310" s="57"/>
      <c r="H2310" s="57"/>
      <c r="I2310" s="990"/>
      <c r="J2310" s="57"/>
      <c r="K2310" s="57"/>
      <c r="L2310" s="57"/>
      <c r="M2310" s="57"/>
      <c r="N2310" s="57"/>
      <c r="O2310" s="57"/>
      <c r="P2310" s="57"/>
      <c r="Q2310" s="57"/>
      <c r="R2310" s="57"/>
      <c r="S2310" s="57"/>
      <c r="T2310" s="57"/>
      <c r="U2310" s="57"/>
      <c r="V2310" s="57"/>
      <c r="W2310" s="57"/>
      <c r="X2310" s="57"/>
      <c r="Y2310" s="57"/>
      <c r="Z2310" s="57"/>
      <c r="AA2310" s="57"/>
      <c r="AB2310" s="57"/>
      <c r="AC2310" s="57"/>
      <c r="AD2310" s="57"/>
      <c r="AE2310" s="57"/>
      <c r="AF2310" s="57"/>
    </row>
    <row r="2311" spans="1:32" x14ac:dyDescent="0.2">
      <c r="A2311" s="57"/>
      <c r="B2311" s="57"/>
      <c r="C2311" s="57"/>
      <c r="D2311" s="57"/>
      <c r="E2311" s="57"/>
      <c r="F2311" s="985"/>
      <c r="G2311" s="57"/>
      <c r="H2311" s="57"/>
      <c r="I2311" s="990"/>
      <c r="J2311" s="57"/>
      <c r="K2311" s="57"/>
      <c r="L2311" s="57"/>
      <c r="M2311" s="57"/>
      <c r="N2311" s="57"/>
      <c r="O2311" s="57"/>
      <c r="P2311" s="57"/>
      <c r="Q2311" s="57"/>
      <c r="R2311" s="57"/>
      <c r="S2311" s="57"/>
      <c r="T2311" s="57"/>
      <c r="U2311" s="57"/>
      <c r="V2311" s="57"/>
      <c r="W2311" s="57"/>
      <c r="X2311" s="57"/>
      <c r="Y2311" s="57"/>
      <c r="Z2311" s="57"/>
      <c r="AA2311" s="57"/>
      <c r="AB2311" s="57"/>
      <c r="AC2311" s="57"/>
      <c r="AD2311" s="57"/>
      <c r="AE2311" s="57"/>
      <c r="AF2311" s="57"/>
    </row>
    <row r="2312" spans="1:32" x14ac:dyDescent="0.2">
      <c r="A2312" s="57"/>
      <c r="B2312" s="57"/>
      <c r="C2312" s="57"/>
      <c r="D2312" s="57"/>
      <c r="E2312" s="57"/>
      <c r="F2312" s="985"/>
      <c r="G2312" s="57"/>
      <c r="H2312" s="57"/>
      <c r="I2312" s="990"/>
      <c r="J2312" s="57"/>
      <c r="K2312" s="57"/>
      <c r="L2312" s="57"/>
      <c r="M2312" s="57"/>
      <c r="N2312" s="57"/>
      <c r="O2312" s="57"/>
      <c r="P2312" s="57"/>
      <c r="Q2312" s="57"/>
      <c r="R2312" s="57"/>
      <c r="S2312" s="57"/>
      <c r="T2312" s="57"/>
      <c r="U2312" s="57"/>
      <c r="V2312" s="57"/>
      <c r="W2312" s="57"/>
      <c r="X2312" s="57"/>
      <c r="Y2312" s="57"/>
      <c r="Z2312" s="57"/>
      <c r="AA2312" s="57"/>
      <c r="AB2312" s="57"/>
      <c r="AC2312" s="57"/>
      <c r="AD2312" s="57"/>
      <c r="AE2312" s="57"/>
      <c r="AF2312" s="57"/>
    </row>
    <row r="2313" spans="1:32" x14ac:dyDescent="0.2">
      <c r="A2313" s="57"/>
      <c r="B2313" s="57"/>
      <c r="C2313" s="57"/>
      <c r="D2313" s="57"/>
      <c r="E2313" s="57"/>
      <c r="F2313" s="985"/>
      <c r="G2313" s="57"/>
      <c r="H2313" s="57"/>
      <c r="I2313" s="990"/>
      <c r="J2313" s="57"/>
      <c r="K2313" s="57"/>
      <c r="L2313" s="57"/>
      <c r="M2313" s="57"/>
      <c r="N2313" s="57"/>
      <c r="O2313" s="57"/>
      <c r="P2313" s="57"/>
      <c r="Q2313" s="57"/>
      <c r="R2313" s="57"/>
      <c r="S2313" s="57"/>
      <c r="T2313" s="57"/>
      <c r="U2313" s="57"/>
      <c r="V2313" s="57"/>
      <c r="W2313" s="57"/>
      <c r="X2313" s="57"/>
      <c r="Y2313" s="57"/>
      <c r="Z2313" s="57"/>
      <c r="AA2313" s="57"/>
      <c r="AB2313" s="57"/>
      <c r="AC2313" s="57"/>
      <c r="AD2313" s="57"/>
      <c r="AE2313" s="57"/>
      <c r="AF2313" s="57"/>
    </row>
    <row r="2314" spans="1:32" x14ac:dyDescent="0.2">
      <c r="A2314" s="57"/>
      <c r="B2314" s="57"/>
      <c r="C2314" s="57"/>
      <c r="D2314" s="57"/>
      <c r="E2314" s="57"/>
      <c r="F2314" s="985"/>
      <c r="G2314" s="57"/>
      <c r="H2314" s="57"/>
      <c r="I2314" s="990"/>
      <c r="J2314" s="57"/>
      <c r="K2314" s="57"/>
      <c r="L2314" s="57"/>
      <c r="M2314" s="57"/>
      <c r="N2314" s="57"/>
      <c r="O2314" s="57"/>
      <c r="P2314" s="57"/>
      <c r="Q2314" s="57"/>
      <c r="R2314" s="57"/>
      <c r="S2314" s="57"/>
      <c r="T2314" s="57"/>
      <c r="U2314" s="57"/>
      <c r="V2314" s="57"/>
      <c r="W2314" s="57"/>
      <c r="X2314" s="57"/>
      <c r="Y2314" s="57"/>
      <c r="Z2314" s="57"/>
      <c r="AA2314" s="57"/>
      <c r="AB2314" s="57"/>
      <c r="AC2314" s="57"/>
      <c r="AD2314" s="57"/>
      <c r="AE2314" s="57"/>
      <c r="AF2314" s="57"/>
    </row>
    <row r="2315" spans="1:32" x14ac:dyDescent="0.2">
      <c r="A2315" s="57"/>
      <c r="B2315" s="57"/>
      <c r="C2315" s="57"/>
      <c r="D2315" s="57"/>
      <c r="E2315" s="57"/>
      <c r="F2315" s="985"/>
      <c r="G2315" s="57"/>
      <c r="H2315" s="57"/>
      <c r="I2315" s="990"/>
      <c r="J2315" s="57"/>
      <c r="K2315" s="57"/>
      <c r="L2315" s="57"/>
      <c r="M2315" s="57"/>
      <c r="N2315" s="57"/>
      <c r="O2315" s="57"/>
      <c r="P2315" s="57"/>
      <c r="Q2315" s="57"/>
      <c r="R2315" s="57"/>
      <c r="S2315" s="57"/>
      <c r="T2315" s="57"/>
      <c r="U2315" s="57"/>
      <c r="V2315" s="57"/>
      <c r="W2315" s="57"/>
      <c r="X2315" s="57"/>
      <c r="Y2315" s="57"/>
      <c r="Z2315" s="57"/>
      <c r="AA2315" s="57"/>
      <c r="AB2315" s="57"/>
      <c r="AC2315" s="57"/>
      <c r="AD2315" s="57"/>
      <c r="AE2315" s="57"/>
      <c r="AF2315" s="57"/>
    </row>
    <row r="2316" spans="1:32" x14ac:dyDescent="0.2">
      <c r="A2316" s="57"/>
      <c r="B2316" s="57"/>
      <c r="C2316" s="57"/>
      <c r="D2316" s="57"/>
      <c r="E2316" s="57"/>
      <c r="F2316" s="985"/>
      <c r="G2316" s="57"/>
      <c r="H2316" s="57"/>
      <c r="I2316" s="990"/>
      <c r="J2316" s="57"/>
      <c r="K2316" s="57"/>
      <c r="L2316" s="57"/>
      <c r="M2316" s="57"/>
      <c r="N2316" s="57"/>
      <c r="O2316" s="57"/>
      <c r="P2316" s="57"/>
      <c r="Q2316" s="57"/>
      <c r="R2316" s="57"/>
      <c r="S2316" s="57"/>
      <c r="T2316" s="57"/>
      <c r="U2316" s="57"/>
      <c r="V2316" s="57"/>
      <c r="W2316" s="57"/>
      <c r="X2316" s="57"/>
      <c r="Y2316" s="57"/>
      <c r="Z2316" s="57"/>
      <c r="AA2316" s="57"/>
      <c r="AB2316" s="57"/>
      <c r="AC2316" s="57"/>
      <c r="AD2316" s="57"/>
      <c r="AE2316" s="57"/>
      <c r="AF2316" s="57"/>
    </row>
    <row r="2317" spans="1:32" x14ac:dyDescent="0.2">
      <c r="A2317" s="57"/>
      <c r="B2317" s="57"/>
      <c r="C2317" s="57"/>
      <c r="D2317" s="57"/>
      <c r="E2317" s="57"/>
      <c r="F2317" s="985"/>
      <c r="G2317" s="57"/>
      <c r="H2317" s="57"/>
      <c r="I2317" s="990"/>
      <c r="J2317" s="57"/>
      <c r="K2317" s="57"/>
      <c r="L2317" s="57"/>
      <c r="M2317" s="57"/>
      <c r="N2317" s="57"/>
      <c r="O2317" s="57"/>
      <c r="P2317" s="57"/>
      <c r="Q2317" s="57"/>
      <c r="R2317" s="57"/>
      <c r="S2317" s="57"/>
      <c r="T2317" s="57"/>
      <c r="U2317" s="57"/>
      <c r="V2317" s="57"/>
      <c r="W2317" s="57"/>
      <c r="X2317" s="57"/>
      <c r="Y2317" s="57"/>
      <c r="Z2317" s="57"/>
      <c r="AA2317" s="57"/>
      <c r="AB2317" s="57"/>
      <c r="AC2317" s="57"/>
      <c r="AD2317" s="57"/>
      <c r="AE2317" s="57"/>
      <c r="AF2317" s="57"/>
    </row>
    <row r="2318" spans="1:32" x14ac:dyDescent="0.2">
      <c r="A2318" s="57"/>
      <c r="B2318" s="57"/>
      <c r="C2318" s="57"/>
      <c r="D2318" s="57"/>
      <c r="E2318" s="57"/>
      <c r="F2318" s="985"/>
      <c r="G2318" s="57"/>
      <c r="H2318" s="57"/>
      <c r="I2318" s="990"/>
      <c r="J2318" s="57"/>
      <c r="K2318" s="57"/>
      <c r="L2318" s="57"/>
      <c r="M2318" s="57"/>
      <c r="N2318" s="57"/>
      <c r="O2318" s="57"/>
      <c r="P2318" s="57"/>
      <c r="Q2318" s="57"/>
      <c r="R2318" s="57"/>
      <c r="S2318" s="57"/>
      <c r="T2318" s="57"/>
      <c r="U2318" s="57"/>
      <c r="V2318" s="57"/>
      <c r="W2318" s="57"/>
      <c r="X2318" s="57"/>
      <c r="Y2318" s="57"/>
      <c r="Z2318" s="57"/>
      <c r="AA2318" s="57"/>
      <c r="AB2318" s="57"/>
      <c r="AC2318" s="57"/>
      <c r="AD2318" s="57"/>
      <c r="AE2318" s="57"/>
      <c r="AF2318" s="57"/>
    </row>
    <row r="2319" spans="1:32" x14ac:dyDescent="0.2">
      <c r="A2319" s="57"/>
      <c r="B2319" s="57"/>
      <c r="C2319" s="57"/>
      <c r="D2319" s="57"/>
      <c r="E2319" s="57"/>
      <c r="F2319" s="985"/>
      <c r="G2319" s="57"/>
      <c r="H2319" s="57"/>
      <c r="I2319" s="990"/>
      <c r="J2319" s="57"/>
      <c r="K2319" s="57"/>
      <c r="L2319" s="57"/>
      <c r="M2319" s="57"/>
      <c r="N2319" s="57"/>
      <c r="O2319" s="57"/>
      <c r="P2319" s="57"/>
      <c r="Q2319" s="57"/>
      <c r="R2319" s="57"/>
      <c r="S2319" s="57"/>
      <c r="T2319" s="57"/>
      <c r="U2319" s="57"/>
      <c r="V2319" s="57"/>
      <c r="W2319" s="57"/>
      <c r="X2319" s="57"/>
      <c r="Y2319" s="57"/>
      <c r="Z2319" s="57"/>
      <c r="AA2319" s="57"/>
      <c r="AB2319" s="57"/>
      <c r="AC2319" s="57"/>
      <c r="AD2319" s="57"/>
      <c r="AE2319" s="57"/>
      <c r="AF2319" s="57"/>
    </row>
    <row r="2320" spans="1:32" x14ac:dyDescent="0.2">
      <c r="A2320" s="57"/>
      <c r="B2320" s="57"/>
      <c r="C2320" s="57"/>
      <c r="D2320" s="57"/>
      <c r="E2320" s="57"/>
      <c r="F2320" s="985"/>
      <c r="G2320" s="57"/>
      <c r="H2320" s="57"/>
      <c r="I2320" s="990"/>
      <c r="J2320" s="57"/>
      <c r="K2320" s="57"/>
      <c r="L2320" s="57"/>
      <c r="M2320" s="57"/>
      <c r="N2320" s="57"/>
      <c r="O2320" s="57"/>
      <c r="P2320" s="57"/>
      <c r="Q2320" s="57"/>
      <c r="R2320" s="57"/>
      <c r="S2320" s="57"/>
      <c r="T2320" s="57"/>
      <c r="U2320" s="57"/>
      <c r="V2320" s="57"/>
      <c r="W2320" s="57"/>
      <c r="X2320" s="57"/>
      <c r="Y2320" s="57"/>
      <c r="Z2320" s="57"/>
      <c r="AA2320" s="57"/>
      <c r="AB2320" s="57"/>
      <c r="AC2320" s="57"/>
      <c r="AD2320" s="57"/>
      <c r="AE2320" s="57"/>
      <c r="AF2320" s="57"/>
    </row>
    <row r="2321" spans="1:32" x14ac:dyDescent="0.2">
      <c r="A2321" s="57"/>
      <c r="B2321" s="57"/>
      <c r="C2321" s="57"/>
      <c r="D2321" s="57"/>
      <c r="E2321" s="57"/>
      <c r="F2321" s="985"/>
      <c r="G2321" s="57"/>
      <c r="H2321" s="57"/>
      <c r="I2321" s="990"/>
      <c r="J2321" s="57"/>
      <c r="K2321" s="57"/>
      <c r="L2321" s="57"/>
      <c r="M2321" s="57"/>
      <c r="N2321" s="57"/>
      <c r="O2321" s="57"/>
      <c r="P2321" s="57"/>
      <c r="Q2321" s="57"/>
      <c r="R2321" s="57"/>
      <c r="S2321" s="57"/>
      <c r="T2321" s="57"/>
      <c r="U2321" s="57"/>
      <c r="V2321" s="57"/>
      <c r="W2321" s="57"/>
      <c r="X2321" s="57"/>
      <c r="Y2321" s="57"/>
      <c r="Z2321" s="57"/>
      <c r="AA2321" s="57"/>
      <c r="AB2321" s="57"/>
      <c r="AC2321" s="57"/>
      <c r="AD2321" s="57"/>
      <c r="AE2321" s="57"/>
      <c r="AF2321" s="57"/>
    </row>
    <row r="2322" spans="1:32" x14ac:dyDescent="0.2">
      <c r="A2322" s="57"/>
      <c r="B2322" s="57"/>
      <c r="C2322" s="57"/>
      <c r="D2322" s="57"/>
      <c r="E2322" s="57"/>
      <c r="F2322" s="985"/>
      <c r="G2322" s="57"/>
      <c r="H2322" s="57"/>
      <c r="I2322" s="990"/>
      <c r="J2322" s="57"/>
      <c r="K2322" s="57"/>
      <c r="L2322" s="57"/>
      <c r="M2322" s="57"/>
      <c r="N2322" s="57"/>
      <c r="O2322" s="57"/>
      <c r="P2322" s="57"/>
      <c r="Q2322" s="57"/>
      <c r="R2322" s="57"/>
      <c r="S2322" s="57"/>
      <c r="T2322" s="57"/>
      <c r="U2322" s="57"/>
      <c r="V2322" s="57"/>
      <c r="W2322" s="57"/>
      <c r="X2322" s="57"/>
      <c r="Y2322" s="57"/>
      <c r="Z2322" s="57"/>
      <c r="AA2322" s="57"/>
      <c r="AB2322" s="57"/>
      <c r="AC2322" s="57"/>
      <c r="AD2322" s="57"/>
      <c r="AE2322" s="57"/>
      <c r="AF2322" s="57"/>
    </row>
    <row r="2323" spans="1:32" x14ac:dyDescent="0.2">
      <c r="A2323" s="57"/>
      <c r="B2323" s="57"/>
      <c r="C2323" s="57"/>
      <c r="D2323" s="57"/>
      <c r="E2323" s="57"/>
      <c r="F2323" s="985"/>
      <c r="G2323" s="57"/>
      <c r="H2323" s="57"/>
      <c r="I2323" s="990"/>
      <c r="J2323" s="57"/>
      <c r="K2323" s="57"/>
      <c r="L2323" s="57"/>
      <c r="M2323" s="57"/>
      <c r="N2323" s="57"/>
      <c r="O2323" s="57"/>
      <c r="P2323" s="57"/>
      <c r="Q2323" s="57"/>
      <c r="R2323" s="57"/>
      <c r="S2323" s="57"/>
      <c r="T2323" s="57"/>
      <c r="U2323" s="57"/>
      <c r="V2323" s="57"/>
      <c r="W2323" s="57"/>
      <c r="X2323" s="57"/>
      <c r="Y2323" s="57"/>
      <c r="Z2323" s="57"/>
      <c r="AA2323" s="57"/>
      <c r="AB2323" s="57"/>
      <c r="AC2323" s="57"/>
      <c r="AD2323" s="57"/>
      <c r="AE2323" s="57"/>
      <c r="AF2323" s="57"/>
    </row>
    <row r="2324" spans="1:32" x14ac:dyDescent="0.2">
      <c r="A2324" s="57"/>
      <c r="B2324" s="57"/>
      <c r="C2324" s="57"/>
      <c r="D2324" s="57"/>
      <c r="E2324" s="57"/>
      <c r="F2324" s="985"/>
      <c r="G2324" s="57"/>
      <c r="H2324" s="57"/>
      <c r="I2324" s="990"/>
      <c r="J2324" s="57"/>
      <c r="K2324" s="57"/>
      <c r="L2324" s="57"/>
      <c r="M2324" s="57"/>
      <c r="N2324" s="57"/>
      <c r="O2324" s="57"/>
      <c r="P2324" s="57"/>
      <c r="Q2324" s="57"/>
      <c r="R2324" s="57"/>
      <c r="S2324" s="57"/>
      <c r="T2324" s="57"/>
      <c r="U2324" s="57"/>
      <c r="V2324" s="57"/>
      <c r="W2324" s="57"/>
      <c r="X2324" s="57"/>
      <c r="Y2324" s="57"/>
      <c r="Z2324" s="57"/>
      <c r="AA2324" s="57"/>
      <c r="AB2324" s="57"/>
      <c r="AC2324" s="57"/>
      <c r="AD2324" s="57"/>
      <c r="AE2324" s="57"/>
      <c r="AF2324" s="57"/>
    </row>
    <row r="2325" spans="1:32" x14ac:dyDescent="0.2">
      <c r="A2325" s="57"/>
      <c r="B2325" s="57"/>
      <c r="C2325" s="57"/>
      <c r="D2325" s="57"/>
      <c r="E2325" s="57"/>
      <c r="F2325" s="985"/>
      <c r="G2325" s="57"/>
      <c r="H2325" s="57"/>
      <c r="I2325" s="990"/>
      <c r="J2325" s="57"/>
      <c r="K2325" s="57"/>
      <c r="L2325" s="57"/>
      <c r="M2325" s="57"/>
      <c r="N2325" s="57"/>
      <c r="O2325" s="57"/>
      <c r="P2325" s="57"/>
      <c r="Q2325" s="57"/>
      <c r="R2325" s="57"/>
      <c r="S2325" s="57"/>
      <c r="T2325" s="57"/>
      <c r="U2325" s="57"/>
      <c r="V2325" s="57"/>
      <c r="W2325" s="57"/>
      <c r="X2325" s="57"/>
      <c r="Y2325" s="57"/>
      <c r="Z2325" s="57"/>
      <c r="AA2325" s="57"/>
      <c r="AB2325" s="57"/>
      <c r="AC2325" s="57"/>
      <c r="AD2325" s="57"/>
      <c r="AE2325" s="57"/>
      <c r="AF2325" s="57"/>
    </row>
    <row r="2326" spans="1:32" x14ac:dyDescent="0.2">
      <c r="A2326" s="57"/>
      <c r="B2326" s="57"/>
      <c r="C2326" s="57"/>
      <c r="D2326" s="57"/>
      <c r="E2326" s="57"/>
      <c r="F2326" s="985"/>
      <c r="G2326" s="57"/>
      <c r="H2326" s="57"/>
      <c r="I2326" s="990"/>
      <c r="J2326" s="57"/>
      <c r="K2326" s="57"/>
      <c r="L2326" s="57"/>
      <c r="M2326" s="57"/>
      <c r="N2326" s="57"/>
      <c r="O2326" s="57"/>
      <c r="P2326" s="57"/>
      <c r="Q2326" s="57"/>
      <c r="R2326" s="57"/>
      <c r="S2326" s="57"/>
      <c r="T2326" s="57"/>
      <c r="U2326" s="57"/>
      <c r="V2326" s="57"/>
      <c r="W2326" s="57"/>
      <c r="X2326" s="57"/>
      <c r="Y2326" s="57"/>
      <c r="Z2326" s="57"/>
      <c r="AA2326" s="57"/>
      <c r="AB2326" s="57"/>
      <c r="AC2326" s="57"/>
      <c r="AD2326" s="57"/>
      <c r="AE2326" s="57"/>
      <c r="AF2326" s="57"/>
    </row>
    <row r="2327" spans="1:32" x14ac:dyDescent="0.2">
      <c r="A2327" s="57"/>
      <c r="B2327" s="57"/>
      <c r="C2327" s="57"/>
      <c r="D2327" s="57"/>
      <c r="E2327" s="57"/>
      <c r="F2327" s="985"/>
      <c r="G2327" s="57"/>
      <c r="H2327" s="57"/>
      <c r="I2327" s="990"/>
      <c r="J2327" s="57"/>
      <c r="K2327" s="57"/>
      <c r="L2327" s="57"/>
      <c r="M2327" s="57"/>
      <c r="N2327" s="57"/>
      <c r="O2327" s="57"/>
      <c r="P2327" s="57"/>
      <c r="Q2327" s="57"/>
      <c r="R2327" s="57"/>
      <c r="S2327" s="57"/>
      <c r="T2327" s="57"/>
      <c r="U2327" s="57"/>
      <c r="V2327" s="57"/>
      <c r="W2327" s="57"/>
      <c r="X2327" s="57"/>
      <c r="Y2327" s="57"/>
      <c r="Z2327" s="57"/>
      <c r="AA2327" s="57"/>
      <c r="AB2327" s="57"/>
      <c r="AC2327" s="57"/>
      <c r="AD2327" s="57"/>
      <c r="AE2327" s="57"/>
      <c r="AF2327" s="57"/>
    </row>
    <row r="2328" spans="1:32" x14ac:dyDescent="0.2">
      <c r="A2328" s="57"/>
      <c r="B2328" s="57"/>
      <c r="C2328" s="57"/>
      <c r="D2328" s="57"/>
      <c r="E2328" s="57"/>
      <c r="F2328" s="985"/>
      <c r="G2328" s="57"/>
      <c r="H2328" s="57"/>
      <c r="I2328" s="990"/>
      <c r="J2328" s="57"/>
      <c r="K2328" s="57"/>
      <c r="L2328" s="57"/>
      <c r="M2328" s="57"/>
      <c r="N2328" s="57"/>
      <c r="O2328" s="57"/>
      <c r="P2328" s="57"/>
      <c r="Q2328" s="57"/>
      <c r="R2328" s="57"/>
      <c r="S2328" s="57"/>
      <c r="T2328" s="57"/>
      <c r="U2328" s="57"/>
      <c r="V2328" s="57"/>
      <c r="W2328" s="57"/>
      <c r="X2328" s="57"/>
      <c r="Y2328" s="57"/>
      <c r="Z2328" s="57"/>
      <c r="AA2328" s="57"/>
      <c r="AB2328" s="57"/>
      <c r="AC2328" s="57"/>
      <c r="AD2328" s="57"/>
      <c r="AE2328" s="57"/>
      <c r="AF2328" s="57"/>
    </row>
    <row r="2329" spans="1:32" x14ac:dyDescent="0.2">
      <c r="A2329" s="57"/>
      <c r="B2329" s="57"/>
      <c r="C2329" s="57"/>
      <c r="D2329" s="57"/>
      <c r="E2329" s="57"/>
      <c r="F2329" s="985"/>
      <c r="G2329" s="57"/>
      <c r="H2329" s="57"/>
      <c r="I2329" s="990"/>
      <c r="J2329" s="57"/>
      <c r="K2329" s="57"/>
      <c r="L2329" s="57"/>
      <c r="M2329" s="57"/>
      <c r="N2329" s="57"/>
      <c r="O2329" s="57"/>
      <c r="P2329" s="57"/>
      <c r="Q2329" s="57"/>
      <c r="R2329" s="57"/>
      <c r="S2329" s="57"/>
      <c r="T2329" s="57"/>
      <c r="U2329" s="57"/>
      <c r="V2329" s="57"/>
      <c r="W2329" s="57"/>
      <c r="X2329" s="57"/>
      <c r="Y2329" s="57"/>
      <c r="Z2329" s="57"/>
      <c r="AA2329" s="57"/>
      <c r="AB2329" s="57"/>
      <c r="AC2329" s="57"/>
      <c r="AD2329" s="57"/>
      <c r="AE2329" s="57"/>
      <c r="AF2329" s="57"/>
    </row>
    <row r="2330" spans="1:32" x14ac:dyDescent="0.2">
      <c r="A2330" s="57"/>
      <c r="B2330" s="57"/>
      <c r="C2330" s="57"/>
      <c r="D2330" s="57"/>
      <c r="E2330" s="57"/>
      <c r="F2330" s="985"/>
      <c r="G2330" s="57"/>
      <c r="H2330" s="57"/>
      <c r="I2330" s="990"/>
      <c r="J2330" s="57"/>
      <c r="K2330" s="57"/>
      <c r="L2330" s="57"/>
      <c r="M2330" s="57"/>
      <c r="N2330" s="57"/>
      <c r="O2330" s="57"/>
      <c r="P2330" s="57"/>
      <c r="Q2330" s="57"/>
      <c r="R2330" s="57"/>
      <c r="S2330" s="57"/>
      <c r="T2330" s="57"/>
      <c r="U2330" s="57"/>
      <c r="V2330" s="57"/>
      <c r="W2330" s="57"/>
      <c r="X2330" s="57"/>
      <c r="Y2330" s="57"/>
      <c r="Z2330" s="57"/>
      <c r="AA2330" s="57"/>
      <c r="AB2330" s="57"/>
      <c r="AC2330" s="57"/>
      <c r="AD2330" s="57"/>
      <c r="AE2330" s="57"/>
      <c r="AF2330" s="57"/>
    </row>
    <row r="2331" spans="1:32" x14ac:dyDescent="0.2">
      <c r="A2331" s="57"/>
      <c r="B2331" s="57"/>
      <c r="C2331" s="57"/>
      <c r="D2331" s="57"/>
      <c r="E2331" s="57"/>
      <c r="F2331" s="985"/>
      <c r="G2331" s="57"/>
      <c r="H2331" s="57"/>
      <c r="I2331" s="990"/>
      <c r="J2331" s="57"/>
      <c r="K2331" s="57"/>
      <c r="L2331" s="57"/>
      <c r="M2331" s="57"/>
      <c r="N2331" s="57"/>
      <c r="O2331" s="57"/>
      <c r="P2331" s="57"/>
      <c r="Q2331" s="57"/>
      <c r="R2331" s="57"/>
      <c r="S2331" s="57"/>
      <c r="T2331" s="57"/>
      <c r="U2331" s="57"/>
      <c r="V2331" s="57"/>
      <c r="W2331" s="57"/>
      <c r="X2331" s="57"/>
      <c r="Y2331" s="57"/>
      <c r="Z2331" s="57"/>
      <c r="AA2331" s="57"/>
      <c r="AB2331" s="57"/>
      <c r="AC2331" s="57"/>
      <c r="AD2331" s="57"/>
      <c r="AE2331" s="57"/>
      <c r="AF2331" s="57"/>
    </row>
    <row r="2332" spans="1:32" x14ac:dyDescent="0.2">
      <c r="A2332" s="57"/>
      <c r="B2332" s="57"/>
      <c r="C2332" s="57"/>
      <c r="D2332" s="57"/>
      <c r="E2332" s="57"/>
      <c r="F2332" s="985"/>
      <c r="G2332" s="57"/>
      <c r="H2332" s="57"/>
      <c r="I2332" s="990"/>
      <c r="J2332" s="57"/>
      <c r="K2332" s="57"/>
      <c r="L2332" s="57"/>
      <c r="M2332" s="57"/>
      <c r="N2332" s="57"/>
      <c r="O2332" s="57"/>
      <c r="P2332" s="57"/>
      <c r="Q2332" s="57"/>
      <c r="R2332" s="57"/>
      <c r="S2332" s="57"/>
      <c r="T2332" s="57"/>
      <c r="U2332" s="57"/>
      <c r="V2332" s="57"/>
      <c r="W2332" s="57"/>
      <c r="X2332" s="57"/>
      <c r="Y2332" s="57"/>
      <c r="Z2332" s="57"/>
      <c r="AA2332" s="57"/>
      <c r="AB2332" s="57"/>
      <c r="AC2332" s="57"/>
      <c r="AD2332" s="57"/>
      <c r="AE2332" s="57"/>
      <c r="AF2332" s="57"/>
    </row>
    <row r="2333" spans="1:32" x14ac:dyDescent="0.2">
      <c r="A2333" s="57"/>
      <c r="B2333" s="57"/>
      <c r="C2333" s="57"/>
      <c r="D2333" s="57"/>
      <c r="E2333" s="57"/>
      <c r="F2333" s="985"/>
      <c r="G2333" s="57"/>
      <c r="H2333" s="57"/>
      <c r="I2333" s="990"/>
      <c r="J2333" s="57"/>
      <c r="K2333" s="57"/>
      <c r="L2333" s="57"/>
      <c r="M2333" s="57"/>
      <c r="N2333" s="57"/>
      <c r="O2333" s="57"/>
      <c r="P2333" s="57"/>
      <c r="Q2333" s="57"/>
      <c r="R2333" s="57"/>
      <c r="S2333" s="57"/>
      <c r="T2333" s="57"/>
      <c r="U2333" s="57"/>
      <c r="V2333" s="57"/>
      <c r="W2333" s="57"/>
      <c r="X2333" s="57"/>
      <c r="Y2333" s="57"/>
      <c r="Z2333" s="57"/>
      <c r="AA2333" s="57"/>
      <c r="AB2333" s="57"/>
      <c r="AC2333" s="57"/>
      <c r="AD2333" s="57"/>
      <c r="AE2333" s="57"/>
      <c r="AF2333" s="57"/>
    </row>
    <row r="2334" spans="1:32" x14ac:dyDescent="0.2">
      <c r="A2334" s="57"/>
      <c r="B2334" s="57"/>
      <c r="C2334" s="57"/>
      <c r="D2334" s="57"/>
      <c r="E2334" s="57"/>
      <c r="F2334" s="985"/>
      <c r="G2334" s="57"/>
      <c r="H2334" s="57"/>
      <c r="I2334" s="990"/>
      <c r="J2334" s="57"/>
      <c r="K2334" s="57"/>
      <c r="L2334" s="57"/>
      <c r="M2334" s="57"/>
      <c r="N2334" s="57"/>
      <c r="O2334" s="57"/>
      <c r="P2334" s="57"/>
      <c r="Q2334" s="57"/>
      <c r="R2334" s="57"/>
      <c r="S2334" s="57"/>
      <c r="T2334" s="57"/>
      <c r="U2334" s="57"/>
      <c r="V2334" s="57"/>
      <c r="W2334" s="57"/>
      <c r="X2334" s="57"/>
      <c r="Y2334" s="57"/>
      <c r="Z2334" s="57"/>
      <c r="AA2334" s="57"/>
      <c r="AB2334" s="57"/>
      <c r="AC2334" s="57"/>
      <c r="AD2334" s="57"/>
      <c r="AE2334" s="57"/>
      <c r="AF2334" s="57"/>
    </row>
    <row r="2335" spans="1:32" x14ac:dyDescent="0.2">
      <c r="A2335" s="57"/>
      <c r="B2335" s="57"/>
      <c r="C2335" s="57"/>
      <c r="D2335" s="57"/>
      <c r="E2335" s="57"/>
      <c r="F2335" s="985"/>
      <c r="G2335" s="57"/>
      <c r="H2335" s="57"/>
      <c r="I2335" s="990"/>
      <c r="J2335" s="57"/>
      <c r="K2335" s="57"/>
      <c r="L2335" s="57"/>
      <c r="M2335" s="57"/>
      <c r="N2335" s="57"/>
      <c r="O2335" s="57"/>
      <c r="P2335" s="57"/>
      <c r="Q2335" s="57"/>
      <c r="R2335" s="57"/>
      <c r="S2335" s="57"/>
      <c r="T2335" s="57"/>
      <c r="U2335" s="57"/>
      <c r="V2335" s="57"/>
      <c r="W2335" s="57"/>
      <c r="X2335" s="57"/>
      <c r="Y2335" s="57"/>
      <c r="Z2335" s="57"/>
      <c r="AA2335" s="57"/>
      <c r="AB2335" s="57"/>
      <c r="AC2335" s="57"/>
      <c r="AD2335" s="57"/>
      <c r="AE2335" s="57"/>
      <c r="AF2335" s="57"/>
    </row>
    <row r="2336" spans="1:32" x14ac:dyDescent="0.2">
      <c r="A2336" s="57"/>
      <c r="B2336" s="57"/>
      <c r="C2336" s="57"/>
      <c r="D2336" s="57"/>
      <c r="E2336" s="57"/>
      <c r="F2336" s="985"/>
      <c r="G2336" s="57"/>
      <c r="H2336" s="57"/>
      <c r="I2336" s="990"/>
      <c r="J2336" s="57"/>
      <c r="K2336" s="57"/>
      <c r="L2336" s="57"/>
      <c r="M2336" s="57"/>
      <c r="N2336" s="57"/>
      <c r="O2336" s="57"/>
      <c r="P2336" s="57"/>
      <c r="Q2336" s="57"/>
      <c r="R2336" s="57"/>
      <c r="S2336" s="57"/>
      <c r="T2336" s="57"/>
      <c r="U2336" s="57"/>
      <c r="V2336" s="57"/>
      <c r="W2336" s="57"/>
      <c r="X2336" s="57"/>
      <c r="Y2336" s="57"/>
      <c r="Z2336" s="57"/>
      <c r="AA2336" s="57"/>
      <c r="AB2336" s="57"/>
      <c r="AC2336" s="57"/>
      <c r="AD2336" s="57"/>
      <c r="AE2336" s="57"/>
      <c r="AF2336" s="57"/>
    </row>
    <row r="2337" spans="1:32" x14ac:dyDescent="0.2">
      <c r="A2337" s="57"/>
      <c r="B2337" s="57"/>
      <c r="C2337" s="57"/>
      <c r="D2337" s="57"/>
      <c r="E2337" s="57"/>
      <c r="F2337" s="985"/>
      <c r="G2337" s="57"/>
      <c r="H2337" s="57"/>
      <c r="I2337" s="990"/>
      <c r="J2337" s="57"/>
      <c r="K2337" s="57"/>
      <c r="L2337" s="57"/>
      <c r="M2337" s="57"/>
      <c r="N2337" s="57"/>
      <c r="O2337" s="57"/>
      <c r="P2337" s="57"/>
      <c r="Q2337" s="57"/>
      <c r="R2337" s="57"/>
      <c r="S2337" s="57"/>
      <c r="T2337" s="57"/>
      <c r="U2337" s="57"/>
      <c r="V2337" s="57"/>
      <c r="W2337" s="57"/>
      <c r="X2337" s="57"/>
      <c r="Y2337" s="57"/>
      <c r="Z2337" s="57"/>
      <c r="AA2337" s="57"/>
      <c r="AB2337" s="57"/>
      <c r="AC2337" s="57"/>
      <c r="AD2337" s="57"/>
      <c r="AE2337" s="57"/>
      <c r="AF2337" s="57"/>
    </row>
    <row r="2338" spans="1:32" x14ac:dyDescent="0.2">
      <c r="A2338" s="57"/>
      <c r="B2338" s="57"/>
      <c r="C2338" s="57"/>
      <c r="D2338" s="57"/>
      <c r="E2338" s="57"/>
      <c r="F2338" s="985"/>
      <c r="G2338" s="57"/>
      <c r="H2338" s="57"/>
      <c r="I2338" s="990"/>
      <c r="J2338" s="57"/>
      <c r="K2338" s="57"/>
      <c r="L2338" s="57"/>
      <c r="M2338" s="57"/>
      <c r="N2338" s="57"/>
      <c r="O2338" s="57"/>
      <c r="P2338" s="57"/>
      <c r="Q2338" s="57"/>
      <c r="R2338" s="57"/>
      <c r="S2338" s="57"/>
      <c r="T2338" s="57"/>
      <c r="U2338" s="57"/>
      <c r="V2338" s="57"/>
      <c r="W2338" s="57"/>
      <c r="X2338" s="57"/>
      <c r="Y2338" s="57"/>
      <c r="Z2338" s="57"/>
      <c r="AA2338" s="57"/>
      <c r="AB2338" s="57"/>
      <c r="AC2338" s="57"/>
      <c r="AD2338" s="57"/>
      <c r="AE2338" s="57"/>
      <c r="AF2338" s="57"/>
    </row>
    <row r="2339" spans="1:32" x14ac:dyDescent="0.2">
      <c r="A2339" s="57"/>
      <c r="B2339" s="57"/>
      <c r="C2339" s="57"/>
      <c r="D2339" s="57"/>
      <c r="E2339" s="57"/>
      <c r="F2339" s="985"/>
      <c r="G2339" s="57"/>
      <c r="H2339" s="57"/>
      <c r="I2339" s="990"/>
      <c r="J2339" s="57"/>
      <c r="K2339" s="57"/>
      <c r="L2339" s="57"/>
      <c r="M2339" s="57"/>
      <c r="N2339" s="57"/>
      <c r="O2339" s="57"/>
      <c r="P2339" s="57"/>
      <c r="Q2339" s="57"/>
      <c r="R2339" s="57"/>
      <c r="S2339" s="57"/>
      <c r="T2339" s="57"/>
      <c r="U2339" s="57"/>
      <c r="V2339" s="57"/>
      <c r="W2339" s="57"/>
      <c r="X2339" s="57"/>
      <c r="Y2339" s="57"/>
      <c r="Z2339" s="57"/>
      <c r="AA2339" s="57"/>
      <c r="AB2339" s="57"/>
      <c r="AC2339" s="57"/>
      <c r="AD2339" s="57"/>
      <c r="AE2339" s="57"/>
      <c r="AF2339" s="57"/>
    </row>
    <row r="2340" spans="1:32" x14ac:dyDescent="0.2">
      <c r="A2340" s="57"/>
      <c r="B2340" s="57"/>
      <c r="C2340" s="57"/>
      <c r="D2340" s="57"/>
      <c r="E2340" s="57"/>
      <c r="F2340" s="985"/>
      <c r="G2340" s="57"/>
      <c r="H2340" s="57"/>
      <c r="I2340" s="990"/>
      <c r="J2340" s="57"/>
      <c r="K2340" s="57"/>
      <c r="L2340" s="57"/>
      <c r="M2340" s="57"/>
      <c r="N2340" s="57"/>
      <c r="O2340" s="57"/>
      <c r="P2340" s="57"/>
      <c r="Q2340" s="57"/>
      <c r="R2340" s="57"/>
      <c r="S2340" s="57"/>
      <c r="T2340" s="57"/>
      <c r="U2340" s="57"/>
      <c r="V2340" s="57"/>
      <c r="W2340" s="57"/>
      <c r="X2340" s="57"/>
      <c r="Y2340" s="57"/>
      <c r="Z2340" s="57"/>
      <c r="AA2340" s="57"/>
      <c r="AB2340" s="57"/>
      <c r="AC2340" s="57"/>
      <c r="AD2340" s="57"/>
      <c r="AE2340" s="57"/>
      <c r="AF2340" s="57"/>
    </row>
    <row r="2341" spans="1:32" x14ac:dyDescent="0.2">
      <c r="A2341" s="57"/>
      <c r="B2341" s="57"/>
      <c r="C2341" s="57"/>
      <c r="D2341" s="57"/>
      <c r="E2341" s="57"/>
      <c r="F2341" s="985"/>
      <c r="G2341" s="57"/>
      <c r="H2341" s="57"/>
      <c r="I2341" s="990"/>
      <c r="J2341" s="57"/>
      <c r="K2341" s="57"/>
      <c r="L2341" s="57"/>
      <c r="M2341" s="57"/>
      <c r="N2341" s="57"/>
      <c r="O2341" s="57"/>
      <c r="P2341" s="57"/>
      <c r="Q2341" s="57"/>
      <c r="R2341" s="57"/>
      <c r="S2341" s="57"/>
      <c r="T2341" s="57"/>
      <c r="U2341" s="57"/>
      <c r="V2341" s="57"/>
      <c r="W2341" s="57"/>
      <c r="X2341" s="57"/>
      <c r="Y2341" s="57"/>
      <c r="Z2341" s="57"/>
      <c r="AA2341" s="57"/>
      <c r="AB2341" s="57"/>
      <c r="AC2341" s="57"/>
      <c r="AD2341" s="57"/>
      <c r="AE2341" s="57"/>
      <c r="AF2341" s="57"/>
    </row>
    <row r="2342" spans="1:32" x14ac:dyDescent="0.2">
      <c r="A2342" s="57"/>
      <c r="B2342" s="57"/>
      <c r="C2342" s="57"/>
      <c r="D2342" s="57"/>
      <c r="E2342" s="57"/>
      <c r="F2342" s="985"/>
      <c r="G2342" s="57"/>
      <c r="H2342" s="57"/>
      <c r="I2342" s="990"/>
      <c r="J2342" s="57"/>
      <c r="K2342" s="57"/>
      <c r="L2342" s="57"/>
      <c r="M2342" s="57"/>
      <c r="N2342" s="57"/>
      <c r="O2342" s="57"/>
      <c r="P2342" s="57"/>
      <c r="Q2342" s="57"/>
      <c r="R2342" s="57"/>
      <c r="S2342" s="57"/>
      <c r="T2342" s="57"/>
      <c r="U2342" s="57"/>
      <c r="V2342" s="57"/>
      <c r="W2342" s="57"/>
      <c r="X2342" s="57"/>
      <c r="Y2342" s="57"/>
      <c r="Z2342" s="57"/>
      <c r="AA2342" s="57"/>
      <c r="AB2342" s="57"/>
      <c r="AC2342" s="57"/>
      <c r="AD2342" s="57"/>
      <c r="AE2342" s="57"/>
      <c r="AF2342" s="57"/>
    </row>
    <row r="2343" spans="1:32" x14ac:dyDescent="0.2">
      <c r="A2343" s="57"/>
      <c r="B2343" s="57"/>
      <c r="C2343" s="57"/>
      <c r="D2343" s="57"/>
      <c r="E2343" s="57"/>
      <c r="F2343" s="985"/>
      <c r="G2343" s="57"/>
      <c r="H2343" s="57"/>
      <c r="I2343" s="990"/>
      <c r="J2343" s="57"/>
      <c r="K2343" s="57"/>
      <c r="L2343" s="57"/>
      <c r="M2343" s="57"/>
      <c r="N2343" s="57"/>
      <c r="O2343" s="57"/>
      <c r="P2343" s="57"/>
      <c r="Q2343" s="57"/>
      <c r="R2343" s="57"/>
      <c r="S2343" s="57"/>
      <c r="T2343" s="57"/>
      <c r="U2343" s="57"/>
      <c r="V2343" s="57"/>
      <c r="W2343" s="57"/>
      <c r="X2343" s="57"/>
      <c r="Y2343" s="57"/>
      <c r="Z2343" s="57"/>
      <c r="AA2343" s="57"/>
      <c r="AB2343" s="57"/>
      <c r="AC2343" s="57"/>
      <c r="AD2343" s="57"/>
      <c r="AE2343" s="57"/>
      <c r="AF2343" s="57"/>
    </row>
    <row r="2344" spans="1:32" x14ac:dyDescent="0.2">
      <c r="A2344" s="57"/>
      <c r="B2344" s="57"/>
      <c r="C2344" s="57"/>
      <c r="D2344" s="57"/>
      <c r="E2344" s="57"/>
      <c r="F2344" s="985"/>
      <c r="G2344" s="57"/>
      <c r="H2344" s="57"/>
      <c r="I2344" s="990"/>
      <c r="J2344" s="57"/>
      <c r="K2344" s="57"/>
      <c r="L2344" s="57"/>
      <c r="M2344" s="57"/>
      <c r="N2344" s="57"/>
      <c r="O2344" s="57"/>
      <c r="P2344" s="57"/>
      <c r="Q2344" s="57"/>
      <c r="R2344" s="57"/>
      <c r="S2344" s="57"/>
      <c r="T2344" s="57"/>
      <c r="U2344" s="57"/>
      <c r="V2344" s="57"/>
      <c r="W2344" s="57"/>
      <c r="X2344" s="57"/>
      <c r="Y2344" s="57"/>
      <c r="Z2344" s="57"/>
      <c r="AA2344" s="57"/>
      <c r="AB2344" s="57"/>
      <c r="AC2344" s="57"/>
      <c r="AD2344" s="57"/>
      <c r="AE2344" s="57"/>
      <c r="AF2344" s="57"/>
    </row>
    <row r="2345" spans="1:32" x14ac:dyDescent="0.2">
      <c r="A2345" s="57"/>
      <c r="B2345" s="57"/>
      <c r="C2345" s="57"/>
      <c r="D2345" s="57"/>
      <c r="E2345" s="57"/>
      <c r="F2345" s="985"/>
      <c r="G2345" s="57"/>
      <c r="H2345" s="57"/>
      <c r="I2345" s="990"/>
      <c r="J2345" s="57"/>
      <c r="K2345" s="57"/>
      <c r="L2345" s="57"/>
      <c r="M2345" s="57"/>
      <c r="N2345" s="57"/>
      <c r="O2345" s="57"/>
      <c r="P2345" s="57"/>
      <c r="Q2345" s="57"/>
      <c r="R2345" s="57"/>
      <c r="S2345" s="57"/>
      <c r="T2345" s="57"/>
      <c r="U2345" s="57"/>
      <c r="V2345" s="57"/>
      <c r="W2345" s="57"/>
      <c r="X2345" s="57"/>
      <c r="Y2345" s="57"/>
      <c r="Z2345" s="57"/>
      <c r="AA2345" s="57"/>
      <c r="AB2345" s="57"/>
      <c r="AC2345" s="57"/>
      <c r="AD2345" s="57"/>
      <c r="AE2345" s="57"/>
      <c r="AF2345" s="57"/>
    </row>
    <row r="2346" spans="1:32" x14ac:dyDescent="0.2">
      <c r="A2346" s="57"/>
      <c r="B2346" s="57"/>
      <c r="C2346" s="57"/>
      <c r="D2346" s="57"/>
      <c r="E2346" s="57"/>
      <c r="F2346" s="985"/>
      <c r="G2346" s="57"/>
      <c r="H2346" s="57"/>
      <c r="I2346" s="990"/>
      <c r="J2346" s="57"/>
      <c r="K2346" s="57"/>
      <c r="L2346" s="57"/>
      <c r="M2346" s="57"/>
      <c r="N2346" s="57"/>
      <c r="O2346" s="57"/>
      <c r="P2346" s="57"/>
      <c r="Q2346" s="57"/>
      <c r="R2346" s="57"/>
      <c r="S2346" s="57"/>
      <c r="T2346" s="57"/>
      <c r="U2346" s="57"/>
      <c r="V2346" s="57"/>
      <c r="W2346" s="57"/>
      <c r="X2346" s="57"/>
      <c r="Y2346" s="57"/>
      <c r="Z2346" s="57"/>
      <c r="AA2346" s="57"/>
      <c r="AB2346" s="57"/>
      <c r="AC2346" s="57"/>
      <c r="AD2346" s="57"/>
      <c r="AE2346" s="57"/>
      <c r="AF2346" s="57"/>
    </row>
    <row r="2347" spans="1:32" x14ac:dyDescent="0.2">
      <c r="A2347" s="57"/>
      <c r="B2347" s="57"/>
      <c r="C2347" s="57"/>
      <c r="D2347" s="57"/>
      <c r="E2347" s="57"/>
      <c r="F2347" s="985"/>
      <c r="G2347" s="57"/>
      <c r="H2347" s="57"/>
      <c r="I2347" s="990"/>
      <c r="J2347" s="57"/>
      <c r="K2347" s="57"/>
      <c r="L2347" s="57"/>
      <c r="M2347" s="57"/>
      <c r="N2347" s="57"/>
      <c r="O2347" s="57"/>
      <c r="P2347" s="57"/>
      <c r="Q2347" s="57"/>
      <c r="R2347" s="57"/>
      <c r="S2347" s="57"/>
      <c r="T2347" s="57"/>
      <c r="U2347" s="57"/>
      <c r="V2347" s="57"/>
      <c r="W2347" s="57"/>
      <c r="X2347" s="57"/>
      <c r="Y2347" s="57"/>
      <c r="Z2347" s="57"/>
      <c r="AA2347" s="57"/>
      <c r="AB2347" s="57"/>
      <c r="AC2347" s="57"/>
      <c r="AD2347" s="57"/>
      <c r="AE2347" s="57"/>
      <c r="AF2347" s="57"/>
    </row>
    <row r="2348" spans="1:32" x14ac:dyDescent="0.2">
      <c r="A2348" s="57"/>
      <c r="B2348" s="57"/>
      <c r="C2348" s="57"/>
      <c r="D2348" s="57"/>
      <c r="E2348" s="57"/>
      <c r="F2348" s="985"/>
      <c r="G2348" s="57"/>
      <c r="H2348" s="57"/>
      <c r="I2348" s="990"/>
      <c r="J2348" s="57"/>
      <c r="K2348" s="57"/>
      <c r="L2348" s="57"/>
      <c r="M2348" s="57"/>
      <c r="N2348" s="57"/>
      <c r="O2348" s="57"/>
      <c r="P2348" s="57"/>
      <c r="Q2348" s="57"/>
      <c r="R2348" s="57"/>
      <c r="S2348" s="57"/>
      <c r="T2348" s="57"/>
      <c r="U2348" s="57"/>
      <c r="V2348" s="57"/>
      <c r="W2348" s="57"/>
      <c r="X2348" s="57"/>
      <c r="Y2348" s="57"/>
      <c r="Z2348" s="57"/>
      <c r="AA2348" s="57"/>
      <c r="AB2348" s="57"/>
      <c r="AC2348" s="57"/>
      <c r="AD2348" s="57"/>
      <c r="AE2348" s="57"/>
      <c r="AF2348" s="57"/>
    </row>
    <row r="2349" spans="1:32" x14ac:dyDescent="0.2">
      <c r="A2349" s="57"/>
      <c r="B2349" s="57"/>
      <c r="C2349" s="57"/>
      <c r="D2349" s="57"/>
      <c r="E2349" s="57"/>
      <c r="F2349" s="985"/>
      <c r="G2349" s="57"/>
      <c r="H2349" s="57"/>
      <c r="I2349" s="990"/>
      <c r="J2349" s="57"/>
      <c r="K2349" s="57"/>
      <c r="L2349" s="57"/>
      <c r="M2349" s="57"/>
      <c r="N2349" s="57"/>
      <c r="O2349" s="57"/>
      <c r="P2349" s="57"/>
      <c r="Q2349" s="57"/>
      <c r="R2349" s="57"/>
      <c r="S2349" s="57"/>
      <c r="T2349" s="57"/>
      <c r="U2349" s="57"/>
      <c r="V2349" s="57"/>
      <c r="W2349" s="57"/>
      <c r="X2349" s="57"/>
      <c r="Y2349" s="57"/>
      <c r="Z2349" s="57"/>
      <c r="AA2349" s="57"/>
      <c r="AB2349" s="57"/>
      <c r="AC2349" s="57"/>
      <c r="AD2349" s="57"/>
      <c r="AE2349" s="57"/>
      <c r="AF2349" s="57"/>
    </row>
    <row r="2350" spans="1:32" x14ac:dyDescent="0.2">
      <c r="A2350" s="57"/>
      <c r="B2350" s="57"/>
      <c r="C2350" s="57"/>
      <c r="D2350" s="57"/>
      <c r="E2350" s="57"/>
      <c r="F2350" s="985"/>
      <c r="G2350" s="57"/>
      <c r="H2350" s="57"/>
      <c r="I2350" s="990"/>
      <c r="J2350" s="57"/>
      <c r="K2350" s="57"/>
      <c r="L2350" s="57"/>
      <c r="M2350" s="57"/>
      <c r="N2350" s="57"/>
      <c r="O2350" s="57"/>
      <c r="P2350" s="57"/>
      <c r="Q2350" s="57"/>
      <c r="R2350" s="57"/>
      <c r="S2350" s="57"/>
      <c r="T2350" s="57"/>
      <c r="U2350" s="57"/>
      <c r="V2350" s="57"/>
      <c r="W2350" s="57"/>
      <c r="X2350" s="57"/>
      <c r="Y2350" s="57"/>
      <c r="Z2350" s="57"/>
      <c r="AA2350" s="57"/>
      <c r="AB2350" s="57"/>
      <c r="AC2350" s="57"/>
      <c r="AD2350" s="57"/>
      <c r="AE2350" s="57"/>
      <c r="AF2350" s="57"/>
    </row>
    <row r="2351" spans="1:32" x14ac:dyDescent="0.2">
      <c r="A2351" s="57"/>
      <c r="B2351" s="57"/>
      <c r="C2351" s="57"/>
      <c r="D2351" s="57"/>
      <c r="E2351" s="57"/>
      <c r="F2351" s="985"/>
      <c r="G2351" s="57"/>
      <c r="H2351" s="57"/>
      <c r="I2351" s="990"/>
      <c r="J2351" s="57"/>
      <c r="K2351" s="57"/>
      <c r="L2351" s="57"/>
      <c r="M2351" s="57"/>
      <c r="N2351" s="57"/>
      <c r="O2351" s="57"/>
      <c r="P2351" s="57"/>
      <c r="Q2351" s="57"/>
      <c r="R2351" s="57"/>
      <c r="S2351" s="57"/>
      <c r="T2351" s="57"/>
      <c r="U2351" s="57"/>
      <c r="V2351" s="57"/>
      <c r="W2351" s="57"/>
      <c r="X2351" s="57"/>
      <c r="Y2351" s="57"/>
      <c r="Z2351" s="57"/>
      <c r="AA2351" s="57"/>
      <c r="AB2351" s="57"/>
      <c r="AC2351" s="57"/>
      <c r="AD2351" s="57"/>
      <c r="AE2351" s="57"/>
      <c r="AF2351" s="57"/>
    </row>
    <row r="2352" spans="1:32" x14ac:dyDescent="0.2">
      <c r="A2352" s="57"/>
      <c r="B2352" s="57"/>
      <c r="C2352" s="57"/>
      <c r="D2352" s="57"/>
      <c r="E2352" s="57"/>
      <c r="F2352" s="985"/>
      <c r="G2352" s="57"/>
      <c r="H2352" s="57"/>
      <c r="I2352" s="990"/>
      <c r="J2352" s="57"/>
      <c r="K2352" s="57"/>
      <c r="L2352" s="57"/>
      <c r="M2352" s="57"/>
      <c r="N2352" s="57"/>
      <c r="O2352" s="57"/>
      <c r="P2352" s="57"/>
      <c r="Q2352" s="57"/>
      <c r="R2352" s="57"/>
      <c r="S2352" s="57"/>
      <c r="T2352" s="57"/>
      <c r="U2352" s="57"/>
      <c r="V2352" s="57"/>
      <c r="W2352" s="57"/>
      <c r="X2352" s="57"/>
      <c r="Y2352" s="57"/>
      <c r="Z2352" s="57"/>
      <c r="AA2352" s="57"/>
      <c r="AB2352" s="57"/>
      <c r="AC2352" s="57"/>
      <c r="AD2352" s="57"/>
      <c r="AE2352" s="57"/>
      <c r="AF2352" s="57"/>
    </row>
    <row r="2353" spans="1:32" x14ac:dyDescent="0.2">
      <c r="A2353" s="57"/>
      <c r="B2353" s="57"/>
      <c r="C2353" s="57"/>
      <c r="D2353" s="57"/>
      <c r="E2353" s="57"/>
      <c r="F2353" s="985"/>
      <c r="G2353" s="57"/>
      <c r="H2353" s="57"/>
      <c r="I2353" s="990"/>
      <c r="J2353" s="57"/>
      <c r="K2353" s="57"/>
      <c r="L2353" s="57"/>
      <c r="M2353" s="57"/>
      <c r="N2353" s="57"/>
      <c r="O2353" s="57"/>
      <c r="P2353" s="57"/>
      <c r="Q2353" s="57"/>
      <c r="R2353" s="57"/>
      <c r="S2353" s="57"/>
      <c r="T2353" s="57"/>
      <c r="U2353" s="57"/>
      <c r="V2353" s="57"/>
      <c r="W2353" s="57"/>
      <c r="X2353" s="57"/>
      <c r="Y2353" s="57"/>
      <c r="Z2353" s="57"/>
      <c r="AA2353" s="57"/>
      <c r="AB2353" s="57"/>
      <c r="AC2353" s="57"/>
      <c r="AD2353" s="57"/>
      <c r="AE2353" s="57"/>
      <c r="AF2353" s="57"/>
    </row>
    <row r="2354" spans="1:32" x14ac:dyDescent="0.2">
      <c r="A2354" s="57"/>
      <c r="B2354" s="57"/>
      <c r="C2354" s="57"/>
      <c r="D2354" s="57"/>
      <c r="E2354" s="57"/>
      <c r="F2354" s="985"/>
      <c r="G2354" s="57"/>
      <c r="H2354" s="57"/>
      <c r="I2354" s="990"/>
      <c r="J2354" s="57"/>
      <c r="K2354" s="57"/>
      <c r="L2354" s="57"/>
      <c r="M2354" s="57"/>
      <c r="N2354" s="57"/>
      <c r="O2354" s="57"/>
      <c r="P2354" s="57"/>
      <c r="Q2354" s="57"/>
      <c r="R2354" s="57"/>
      <c r="S2354" s="57"/>
      <c r="T2354" s="57"/>
      <c r="U2354" s="57"/>
      <c r="V2354" s="57"/>
      <c r="W2354" s="57"/>
      <c r="X2354" s="57"/>
      <c r="Y2354" s="57"/>
      <c r="Z2354" s="57"/>
      <c r="AA2354" s="57"/>
      <c r="AB2354" s="57"/>
      <c r="AC2354" s="57"/>
      <c r="AD2354" s="57"/>
      <c r="AE2354" s="57"/>
      <c r="AF2354" s="57"/>
    </row>
    <row r="2355" spans="1:32" x14ac:dyDescent="0.2">
      <c r="A2355" s="57"/>
      <c r="B2355" s="57"/>
      <c r="C2355" s="57"/>
      <c r="D2355" s="57"/>
      <c r="E2355" s="57"/>
      <c r="F2355" s="985"/>
      <c r="G2355" s="57"/>
      <c r="H2355" s="57"/>
      <c r="I2355" s="990"/>
      <c r="J2355" s="57"/>
      <c r="K2355" s="57"/>
      <c r="L2355" s="57"/>
      <c r="M2355" s="57"/>
      <c r="N2355" s="57"/>
      <c r="O2355" s="57"/>
      <c r="P2355" s="57"/>
      <c r="Q2355" s="57"/>
      <c r="R2355" s="57"/>
      <c r="S2355" s="57"/>
      <c r="T2355" s="57"/>
      <c r="U2355" s="57"/>
      <c r="V2355" s="57"/>
      <c r="W2355" s="57"/>
      <c r="X2355" s="57"/>
      <c r="Y2355" s="57"/>
      <c r="Z2355" s="57"/>
      <c r="AA2355" s="57"/>
      <c r="AB2355" s="57"/>
      <c r="AC2355" s="57"/>
      <c r="AD2355" s="57"/>
      <c r="AE2355" s="57"/>
      <c r="AF2355" s="57"/>
    </row>
    <row r="2356" spans="1:32" x14ac:dyDescent="0.2">
      <c r="A2356" s="57"/>
      <c r="B2356" s="57"/>
      <c r="C2356" s="57"/>
      <c r="D2356" s="57"/>
      <c r="E2356" s="57"/>
      <c r="F2356" s="985"/>
      <c r="G2356" s="57"/>
      <c r="H2356" s="57"/>
      <c r="I2356" s="990"/>
      <c r="J2356" s="57"/>
      <c r="K2356" s="57"/>
      <c r="L2356" s="57"/>
      <c r="M2356" s="57"/>
      <c r="N2356" s="57"/>
      <c r="O2356" s="57"/>
      <c r="P2356" s="57"/>
      <c r="Q2356" s="57"/>
      <c r="R2356" s="57"/>
      <c r="S2356" s="57"/>
      <c r="T2356" s="57"/>
      <c r="U2356" s="57"/>
      <c r="V2356" s="57"/>
      <c r="W2356" s="57"/>
      <c r="X2356" s="57"/>
      <c r="Y2356" s="57"/>
      <c r="Z2356" s="57"/>
      <c r="AA2356" s="57"/>
      <c r="AB2356" s="57"/>
      <c r="AC2356" s="57"/>
      <c r="AD2356" s="57"/>
      <c r="AE2356" s="57"/>
      <c r="AF2356" s="57"/>
    </row>
    <row r="2357" spans="1:32" x14ac:dyDescent="0.2">
      <c r="A2357" s="57"/>
      <c r="B2357" s="57"/>
      <c r="C2357" s="57"/>
      <c r="D2357" s="57"/>
      <c r="E2357" s="57"/>
      <c r="F2357" s="985"/>
      <c r="G2357" s="57"/>
      <c r="H2357" s="57"/>
      <c r="I2357" s="990"/>
      <c r="J2357" s="57"/>
      <c r="K2357" s="57"/>
      <c r="L2357" s="57"/>
      <c r="M2357" s="57"/>
      <c r="N2357" s="57"/>
      <c r="O2357" s="57"/>
      <c r="P2357" s="57"/>
      <c r="Q2357" s="57"/>
      <c r="R2357" s="57"/>
      <c r="S2357" s="57"/>
      <c r="T2357" s="57"/>
      <c r="U2357" s="57"/>
      <c r="V2357" s="57"/>
      <c r="W2357" s="57"/>
      <c r="X2357" s="57"/>
      <c r="Y2357" s="57"/>
      <c r="Z2357" s="57"/>
      <c r="AA2357" s="57"/>
      <c r="AB2357" s="57"/>
      <c r="AC2357" s="57"/>
      <c r="AD2357" s="57"/>
      <c r="AE2357" s="57"/>
      <c r="AF2357" s="57"/>
    </row>
    <row r="2358" spans="1:32" x14ac:dyDescent="0.2">
      <c r="A2358" s="57"/>
      <c r="B2358" s="57"/>
      <c r="C2358" s="57"/>
      <c r="D2358" s="57"/>
      <c r="E2358" s="57"/>
      <c r="F2358" s="985"/>
      <c r="G2358" s="57"/>
      <c r="H2358" s="57"/>
      <c r="I2358" s="990"/>
      <c r="J2358" s="57"/>
      <c r="K2358" s="57"/>
      <c r="L2358" s="57"/>
      <c r="M2358" s="57"/>
      <c r="N2358" s="57"/>
      <c r="O2358" s="57"/>
      <c r="P2358" s="57"/>
      <c r="Q2358" s="57"/>
      <c r="R2358" s="57"/>
      <c r="S2358" s="57"/>
      <c r="T2358" s="57"/>
      <c r="U2358" s="57"/>
      <c r="V2358" s="57"/>
      <c r="W2358" s="57"/>
      <c r="X2358" s="57"/>
      <c r="Y2358" s="57"/>
      <c r="Z2358" s="57"/>
      <c r="AA2358" s="57"/>
      <c r="AB2358" s="57"/>
      <c r="AC2358" s="57"/>
      <c r="AD2358" s="57"/>
      <c r="AE2358" s="57"/>
      <c r="AF2358" s="57"/>
    </row>
    <row r="2359" spans="1:32" x14ac:dyDescent="0.2">
      <c r="A2359" s="57"/>
      <c r="B2359" s="57"/>
      <c r="C2359" s="57"/>
      <c r="D2359" s="57"/>
      <c r="E2359" s="57"/>
      <c r="F2359" s="985"/>
      <c r="G2359" s="57"/>
      <c r="H2359" s="57"/>
      <c r="I2359" s="990"/>
      <c r="J2359" s="57"/>
      <c r="K2359" s="57"/>
      <c r="L2359" s="57"/>
      <c r="M2359" s="57"/>
      <c r="N2359" s="57"/>
      <c r="O2359" s="57"/>
      <c r="P2359" s="57"/>
      <c r="Q2359" s="57"/>
      <c r="R2359" s="57"/>
      <c r="S2359" s="57"/>
      <c r="T2359" s="57"/>
      <c r="U2359" s="57"/>
      <c r="V2359" s="57"/>
      <c r="W2359" s="57"/>
      <c r="X2359" s="57"/>
      <c r="Y2359" s="57"/>
      <c r="Z2359" s="57"/>
      <c r="AA2359" s="57"/>
      <c r="AB2359" s="57"/>
      <c r="AC2359" s="57"/>
      <c r="AD2359" s="57"/>
      <c r="AE2359" s="57"/>
      <c r="AF2359" s="57"/>
    </row>
    <row r="2360" spans="1:32" x14ac:dyDescent="0.2">
      <c r="A2360" s="57"/>
      <c r="B2360" s="57"/>
      <c r="C2360" s="57"/>
      <c r="D2360" s="57"/>
      <c r="E2360" s="57"/>
      <c r="F2360" s="985"/>
      <c r="G2360" s="57"/>
      <c r="H2360" s="57"/>
      <c r="I2360" s="990"/>
      <c r="J2360" s="57"/>
      <c r="K2360" s="57"/>
      <c r="L2360" s="57"/>
      <c r="M2360" s="57"/>
      <c r="N2360" s="57"/>
      <c r="O2360" s="57"/>
      <c r="P2360" s="57"/>
      <c r="Q2360" s="57"/>
      <c r="R2360" s="57"/>
      <c r="S2360" s="57"/>
      <c r="T2360" s="57"/>
      <c r="U2360" s="57"/>
      <c r="V2360" s="57"/>
      <c r="W2360" s="57"/>
      <c r="X2360" s="57"/>
      <c r="Y2360" s="57"/>
      <c r="Z2360" s="57"/>
      <c r="AA2360" s="57"/>
      <c r="AB2360" s="57"/>
      <c r="AC2360" s="57"/>
      <c r="AD2360" s="57"/>
      <c r="AE2360" s="57"/>
      <c r="AF2360" s="57"/>
    </row>
    <row r="2361" spans="1:32" x14ac:dyDescent="0.2">
      <c r="A2361" s="57"/>
      <c r="B2361" s="57"/>
      <c r="C2361" s="57"/>
      <c r="D2361" s="57"/>
      <c r="E2361" s="57"/>
      <c r="F2361" s="985"/>
      <c r="G2361" s="57"/>
      <c r="H2361" s="57"/>
      <c r="I2361" s="990"/>
      <c r="J2361" s="57"/>
      <c r="K2361" s="57"/>
      <c r="L2361" s="57"/>
      <c r="M2361" s="57"/>
      <c r="N2361" s="57"/>
      <c r="O2361" s="57"/>
      <c r="P2361" s="57"/>
      <c r="Q2361" s="57"/>
      <c r="R2361" s="57"/>
      <c r="S2361" s="57"/>
      <c r="T2361" s="57"/>
      <c r="U2361" s="57"/>
      <c r="V2361" s="57"/>
      <c r="W2361" s="57"/>
      <c r="X2361" s="57"/>
      <c r="Y2361" s="57"/>
      <c r="Z2361" s="57"/>
      <c r="AA2361" s="57"/>
      <c r="AB2361" s="57"/>
      <c r="AC2361" s="57"/>
      <c r="AD2361" s="57"/>
      <c r="AE2361" s="57"/>
      <c r="AF2361" s="57"/>
    </row>
    <row r="2362" spans="1:32" x14ac:dyDescent="0.2">
      <c r="A2362" s="57"/>
      <c r="B2362" s="57"/>
      <c r="C2362" s="57"/>
      <c r="D2362" s="57"/>
      <c r="E2362" s="57"/>
      <c r="F2362" s="985"/>
      <c r="G2362" s="57"/>
      <c r="H2362" s="57"/>
      <c r="I2362" s="990"/>
      <c r="J2362" s="57"/>
      <c r="K2362" s="57"/>
      <c r="L2362" s="57"/>
      <c r="M2362" s="57"/>
      <c r="N2362" s="57"/>
      <c r="O2362" s="57"/>
      <c r="P2362" s="57"/>
      <c r="Q2362" s="57"/>
      <c r="R2362" s="57"/>
      <c r="S2362" s="57"/>
      <c r="T2362" s="57"/>
      <c r="U2362" s="57"/>
      <c r="V2362" s="57"/>
      <c r="W2362" s="57"/>
      <c r="X2362" s="57"/>
      <c r="Y2362" s="57"/>
      <c r="Z2362" s="57"/>
      <c r="AA2362" s="57"/>
      <c r="AB2362" s="57"/>
      <c r="AC2362" s="57"/>
      <c r="AD2362" s="57"/>
      <c r="AE2362" s="57"/>
      <c r="AF2362" s="57"/>
    </row>
    <row r="2363" spans="1:32" x14ac:dyDescent="0.2">
      <c r="A2363" s="57"/>
      <c r="B2363" s="57"/>
      <c r="C2363" s="57"/>
      <c r="D2363" s="57"/>
      <c r="E2363" s="57"/>
      <c r="F2363" s="985"/>
      <c r="G2363" s="57"/>
      <c r="H2363" s="57"/>
      <c r="I2363" s="990"/>
      <c r="J2363" s="57"/>
      <c r="K2363" s="57"/>
      <c r="L2363" s="57"/>
      <c r="M2363" s="57"/>
      <c r="N2363" s="57"/>
      <c r="O2363" s="57"/>
      <c r="P2363" s="57"/>
      <c r="Q2363" s="57"/>
      <c r="R2363" s="57"/>
      <c r="S2363" s="57"/>
      <c r="T2363" s="57"/>
      <c r="U2363" s="57"/>
      <c r="V2363" s="57"/>
      <c r="W2363" s="57"/>
      <c r="X2363" s="57"/>
      <c r="Y2363" s="57"/>
      <c r="Z2363" s="57"/>
      <c r="AA2363" s="57"/>
      <c r="AB2363" s="57"/>
      <c r="AC2363" s="57"/>
      <c r="AD2363" s="57"/>
      <c r="AE2363" s="57"/>
      <c r="AF2363" s="57"/>
    </row>
    <row r="2364" spans="1:32" x14ac:dyDescent="0.2">
      <c r="A2364" s="57"/>
      <c r="B2364" s="57"/>
      <c r="C2364" s="57"/>
      <c r="D2364" s="57"/>
      <c r="E2364" s="57"/>
      <c r="F2364" s="985"/>
      <c r="G2364" s="57"/>
      <c r="H2364" s="57"/>
      <c r="I2364" s="990"/>
      <c r="J2364" s="57"/>
      <c r="K2364" s="57"/>
      <c r="L2364" s="57"/>
      <c r="M2364" s="57"/>
      <c r="N2364" s="57"/>
      <c r="O2364" s="57"/>
      <c r="P2364" s="57"/>
      <c r="Q2364" s="57"/>
      <c r="R2364" s="57"/>
      <c r="S2364" s="57"/>
      <c r="T2364" s="57"/>
      <c r="U2364" s="57"/>
      <c r="V2364" s="57"/>
      <c r="W2364" s="57"/>
      <c r="X2364" s="57"/>
      <c r="Y2364" s="57"/>
      <c r="Z2364" s="57"/>
      <c r="AA2364" s="57"/>
      <c r="AB2364" s="57"/>
      <c r="AC2364" s="57"/>
      <c r="AD2364" s="57"/>
      <c r="AE2364" s="57"/>
      <c r="AF2364" s="57"/>
    </row>
    <row r="2365" spans="1:32" x14ac:dyDescent="0.2">
      <c r="A2365" s="57"/>
      <c r="B2365" s="57"/>
      <c r="C2365" s="57"/>
      <c r="D2365" s="57"/>
      <c r="E2365" s="57"/>
      <c r="F2365" s="985"/>
      <c r="G2365" s="57"/>
      <c r="H2365" s="57"/>
      <c r="I2365" s="990"/>
      <c r="J2365" s="57"/>
      <c r="K2365" s="57"/>
      <c r="L2365" s="57"/>
      <c r="M2365" s="57"/>
      <c r="N2365" s="57"/>
      <c r="O2365" s="57"/>
      <c r="P2365" s="57"/>
      <c r="Q2365" s="57"/>
      <c r="R2365" s="57"/>
      <c r="S2365" s="57"/>
      <c r="T2365" s="57"/>
      <c r="U2365" s="57"/>
      <c r="V2365" s="57"/>
      <c r="W2365" s="57"/>
      <c r="X2365" s="57"/>
      <c r="Y2365" s="57"/>
      <c r="Z2365" s="57"/>
      <c r="AA2365" s="57"/>
      <c r="AB2365" s="57"/>
      <c r="AC2365" s="57"/>
      <c r="AD2365" s="57"/>
      <c r="AE2365" s="57"/>
      <c r="AF2365" s="57"/>
    </row>
    <row r="2366" spans="1:32" x14ac:dyDescent="0.2">
      <c r="A2366" s="57"/>
      <c r="B2366" s="57"/>
      <c r="C2366" s="57"/>
      <c r="D2366" s="57"/>
      <c r="E2366" s="57"/>
      <c r="F2366" s="985"/>
      <c r="G2366" s="57"/>
      <c r="H2366" s="57"/>
      <c r="I2366" s="990"/>
      <c r="J2366" s="57"/>
      <c r="K2366" s="57"/>
      <c r="L2366" s="57"/>
      <c r="M2366" s="57"/>
      <c r="N2366" s="57"/>
      <c r="O2366" s="57"/>
      <c r="P2366" s="57"/>
      <c r="Q2366" s="57"/>
      <c r="R2366" s="57"/>
      <c r="S2366" s="57"/>
      <c r="T2366" s="57"/>
      <c r="U2366" s="57"/>
      <c r="V2366" s="57"/>
      <c r="W2366" s="57"/>
      <c r="X2366" s="57"/>
      <c r="Y2366" s="57"/>
      <c r="Z2366" s="57"/>
      <c r="AA2366" s="57"/>
      <c r="AB2366" s="57"/>
      <c r="AC2366" s="57"/>
      <c r="AD2366" s="57"/>
      <c r="AE2366" s="57"/>
      <c r="AF2366" s="57"/>
    </row>
    <row r="2367" spans="1:32" x14ac:dyDescent="0.2">
      <c r="A2367" s="57"/>
      <c r="B2367" s="57"/>
      <c r="C2367" s="57"/>
      <c r="D2367" s="57"/>
      <c r="E2367" s="57"/>
      <c r="F2367" s="985"/>
      <c r="G2367" s="57"/>
      <c r="H2367" s="57"/>
      <c r="I2367" s="990"/>
      <c r="J2367" s="57"/>
      <c r="K2367" s="57"/>
      <c r="L2367" s="57"/>
      <c r="M2367" s="57"/>
      <c r="N2367" s="57"/>
      <c r="O2367" s="57"/>
      <c r="P2367" s="57"/>
      <c r="Q2367" s="57"/>
      <c r="R2367" s="57"/>
      <c r="S2367" s="57"/>
      <c r="T2367" s="57"/>
      <c r="U2367" s="57"/>
      <c r="V2367" s="57"/>
      <c r="W2367" s="57"/>
      <c r="X2367" s="57"/>
      <c r="Y2367" s="57"/>
      <c r="Z2367" s="57"/>
      <c r="AA2367" s="57"/>
      <c r="AB2367" s="57"/>
      <c r="AC2367" s="57"/>
      <c r="AD2367" s="57"/>
      <c r="AE2367" s="57"/>
      <c r="AF2367" s="57"/>
    </row>
    <row r="2368" spans="1:32" x14ac:dyDescent="0.2">
      <c r="A2368" s="57"/>
      <c r="B2368" s="57"/>
      <c r="C2368" s="57"/>
      <c r="D2368" s="57"/>
      <c r="E2368" s="57"/>
      <c r="F2368" s="985"/>
      <c r="G2368" s="57"/>
      <c r="H2368" s="57"/>
      <c r="I2368" s="990"/>
      <c r="J2368" s="57"/>
      <c r="K2368" s="57"/>
      <c r="L2368" s="57"/>
      <c r="M2368" s="57"/>
      <c r="N2368" s="57"/>
      <c r="O2368" s="57"/>
      <c r="P2368" s="57"/>
      <c r="Q2368" s="57"/>
      <c r="R2368" s="57"/>
      <c r="S2368" s="57"/>
      <c r="T2368" s="57"/>
      <c r="U2368" s="57"/>
      <c r="V2368" s="57"/>
      <c r="W2368" s="57"/>
      <c r="X2368" s="57"/>
      <c r="Y2368" s="57"/>
      <c r="Z2368" s="57"/>
      <c r="AA2368" s="57"/>
      <c r="AB2368" s="57"/>
      <c r="AC2368" s="57"/>
      <c r="AD2368" s="57"/>
      <c r="AE2368" s="57"/>
      <c r="AF2368" s="57"/>
    </row>
    <row r="2369" spans="1:32" x14ac:dyDescent="0.2">
      <c r="A2369" s="57"/>
      <c r="B2369" s="57"/>
      <c r="C2369" s="57"/>
      <c r="D2369" s="57"/>
      <c r="E2369" s="57"/>
      <c r="F2369" s="985"/>
      <c r="G2369" s="57"/>
      <c r="H2369" s="57"/>
      <c r="I2369" s="990"/>
      <c r="J2369" s="57"/>
      <c r="K2369" s="57"/>
      <c r="L2369" s="57"/>
      <c r="M2369" s="57"/>
      <c r="N2369" s="57"/>
      <c r="O2369" s="57"/>
      <c r="P2369" s="57"/>
      <c r="Q2369" s="57"/>
      <c r="R2369" s="57"/>
      <c r="S2369" s="57"/>
      <c r="T2369" s="57"/>
      <c r="U2369" s="57"/>
      <c r="V2369" s="57"/>
      <c r="W2369" s="57"/>
      <c r="X2369" s="57"/>
      <c r="Y2369" s="57"/>
      <c r="Z2369" s="57"/>
      <c r="AA2369" s="57"/>
      <c r="AB2369" s="57"/>
      <c r="AC2369" s="57"/>
      <c r="AD2369" s="57"/>
      <c r="AE2369" s="57"/>
      <c r="AF2369" s="57"/>
    </row>
    <row r="2370" spans="1:32" x14ac:dyDescent="0.2">
      <c r="A2370" s="57"/>
      <c r="B2370" s="57"/>
      <c r="C2370" s="57"/>
      <c r="D2370" s="57"/>
      <c r="E2370" s="57"/>
      <c r="F2370" s="985"/>
      <c r="G2370" s="57"/>
      <c r="H2370" s="57"/>
      <c r="I2370" s="990"/>
      <c r="J2370" s="57"/>
      <c r="K2370" s="57"/>
      <c r="L2370" s="57"/>
      <c r="M2370" s="57"/>
      <c r="N2370" s="57"/>
      <c r="O2370" s="57"/>
      <c r="P2370" s="57"/>
      <c r="Q2370" s="57"/>
      <c r="R2370" s="57"/>
      <c r="S2370" s="57"/>
      <c r="T2370" s="57"/>
      <c r="U2370" s="57"/>
      <c r="V2370" s="57"/>
      <c r="W2370" s="57"/>
      <c r="X2370" s="57"/>
      <c r="Y2370" s="57"/>
      <c r="Z2370" s="57"/>
      <c r="AA2370" s="57"/>
      <c r="AB2370" s="57"/>
      <c r="AC2370" s="57"/>
      <c r="AD2370" s="57"/>
      <c r="AE2370" s="57"/>
      <c r="AF2370" s="57"/>
    </row>
    <row r="2371" spans="1:32" x14ac:dyDescent="0.2">
      <c r="A2371" s="57"/>
      <c r="B2371" s="57"/>
      <c r="C2371" s="57"/>
      <c r="D2371" s="57"/>
      <c r="E2371" s="57"/>
      <c r="F2371" s="985"/>
      <c r="G2371" s="57"/>
      <c r="H2371" s="57"/>
      <c r="I2371" s="990"/>
      <c r="J2371" s="57"/>
      <c r="K2371" s="57"/>
      <c r="L2371" s="57"/>
      <c r="M2371" s="57"/>
      <c r="N2371" s="57"/>
      <c r="O2371" s="57"/>
      <c r="P2371" s="57"/>
      <c r="Q2371" s="57"/>
      <c r="R2371" s="57"/>
      <c r="S2371" s="57"/>
      <c r="T2371" s="57"/>
      <c r="U2371" s="57"/>
      <c r="V2371" s="57"/>
      <c r="W2371" s="57"/>
      <c r="X2371" s="57"/>
      <c r="Y2371" s="57"/>
      <c r="Z2371" s="57"/>
      <c r="AA2371" s="57"/>
      <c r="AB2371" s="57"/>
      <c r="AC2371" s="57"/>
      <c r="AD2371" s="57"/>
      <c r="AE2371" s="57"/>
      <c r="AF2371" s="57"/>
    </row>
    <row r="2372" spans="1:32" x14ac:dyDescent="0.2">
      <c r="A2372" s="57"/>
      <c r="B2372" s="57"/>
      <c r="C2372" s="57"/>
      <c r="D2372" s="57"/>
      <c r="E2372" s="57"/>
      <c r="F2372" s="985"/>
      <c r="G2372" s="57"/>
      <c r="H2372" s="57"/>
      <c r="I2372" s="990"/>
      <c r="J2372" s="57"/>
      <c r="K2372" s="57"/>
      <c r="L2372" s="57"/>
      <c r="M2372" s="57"/>
      <c r="N2372" s="57"/>
      <c r="O2372" s="57"/>
      <c r="P2372" s="57"/>
      <c r="Q2372" s="57"/>
      <c r="R2372" s="57"/>
      <c r="S2372" s="57"/>
      <c r="T2372" s="57"/>
      <c r="U2372" s="57"/>
      <c r="V2372" s="57"/>
      <c r="W2372" s="57"/>
      <c r="X2372" s="57"/>
      <c r="Y2372" s="57"/>
      <c r="Z2372" s="57"/>
      <c r="AA2372" s="57"/>
      <c r="AB2372" s="57"/>
      <c r="AC2372" s="57"/>
      <c r="AD2372" s="57"/>
      <c r="AE2372" s="57"/>
      <c r="AF2372" s="57"/>
    </row>
    <row r="2373" spans="1:32" x14ac:dyDescent="0.2">
      <c r="A2373" s="57"/>
      <c r="B2373" s="57"/>
      <c r="C2373" s="57"/>
      <c r="D2373" s="57"/>
      <c r="E2373" s="57"/>
      <c r="F2373" s="985"/>
      <c r="G2373" s="57"/>
      <c r="H2373" s="57"/>
      <c r="I2373" s="990"/>
      <c r="J2373" s="57"/>
      <c r="K2373" s="57"/>
      <c r="L2373" s="57"/>
      <c r="M2373" s="57"/>
      <c r="N2373" s="57"/>
      <c r="O2373" s="57"/>
      <c r="P2373" s="57"/>
      <c r="Q2373" s="57"/>
      <c r="R2373" s="57"/>
      <c r="S2373" s="57"/>
      <c r="T2373" s="57"/>
      <c r="U2373" s="57"/>
      <c r="V2373" s="57"/>
      <c r="W2373" s="57"/>
      <c r="X2373" s="57"/>
      <c r="Y2373" s="57"/>
      <c r="Z2373" s="57"/>
      <c r="AA2373" s="57"/>
      <c r="AB2373" s="57"/>
      <c r="AC2373" s="57"/>
      <c r="AD2373" s="57"/>
      <c r="AE2373" s="57"/>
      <c r="AF2373" s="57"/>
    </row>
    <row r="2374" spans="1:32" x14ac:dyDescent="0.2">
      <c r="A2374" s="57"/>
      <c r="B2374" s="57"/>
      <c r="C2374" s="57"/>
      <c r="D2374" s="57"/>
      <c r="E2374" s="57"/>
      <c r="F2374" s="985"/>
      <c r="G2374" s="57"/>
      <c r="H2374" s="57"/>
      <c r="I2374" s="990"/>
      <c r="J2374" s="57"/>
      <c r="K2374" s="57"/>
      <c r="L2374" s="57"/>
      <c r="M2374" s="57"/>
      <c r="N2374" s="57"/>
      <c r="O2374" s="57"/>
      <c r="P2374" s="57"/>
      <c r="Q2374" s="57"/>
      <c r="R2374" s="57"/>
      <c r="S2374" s="57"/>
      <c r="T2374" s="57"/>
      <c r="U2374" s="57"/>
      <c r="V2374" s="57"/>
      <c r="W2374" s="57"/>
      <c r="X2374" s="57"/>
      <c r="Y2374" s="57"/>
      <c r="Z2374" s="57"/>
      <c r="AA2374" s="57"/>
      <c r="AB2374" s="57"/>
      <c r="AC2374" s="57"/>
      <c r="AD2374" s="57"/>
      <c r="AE2374" s="57"/>
      <c r="AF2374" s="57"/>
    </row>
    <row r="2375" spans="1:32" x14ac:dyDescent="0.2">
      <c r="A2375" s="57"/>
      <c r="B2375" s="57"/>
      <c r="C2375" s="57"/>
      <c r="D2375" s="57"/>
      <c r="E2375" s="57"/>
      <c r="F2375" s="985"/>
      <c r="G2375" s="57"/>
      <c r="H2375" s="57"/>
      <c r="I2375" s="990"/>
      <c r="J2375" s="57"/>
      <c r="K2375" s="57"/>
      <c r="L2375" s="57"/>
      <c r="M2375" s="57"/>
      <c r="N2375" s="57"/>
      <c r="O2375" s="57"/>
      <c r="P2375" s="57"/>
      <c r="Q2375" s="57"/>
      <c r="R2375" s="57"/>
      <c r="S2375" s="57"/>
      <c r="T2375" s="57"/>
      <c r="U2375" s="57"/>
      <c r="V2375" s="57"/>
      <c r="W2375" s="57"/>
      <c r="X2375" s="57"/>
      <c r="Y2375" s="57"/>
      <c r="Z2375" s="57"/>
      <c r="AA2375" s="57"/>
      <c r="AB2375" s="57"/>
      <c r="AC2375" s="57"/>
      <c r="AD2375" s="57"/>
      <c r="AE2375" s="57"/>
      <c r="AF2375" s="57"/>
    </row>
    <row r="2376" spans="1:32" x14ac:dyDescent="0.2">
      <c r="A2376" s="57"/>
      <c r="B2376" s="57"/>
      <c r="C2376" s="57"/>
      <c r="D2376" s="57"/>
      <c r="E2376" s="57"/>
      <c r="F2376" s="985"/>
      <c r="G2376" s="57"/>
      <c r="H2376" s="57"/>
      <c r="I2376" s="990"/>
      <c r="J2376" s="57"/>
      <c r="K2376" s="57"/>
      <c r="L2376" s="57"/>
      <c r="M2376" s="57"/>
      <c r="N2376" s="57"/>
      <c r="O2376" s="57"/>
      <c r="P2376" s="57"/>
      <c r="Q2376" s="57"/>
      <c r="R2376" s="57"/>
      <c r="S2376" s="57"/>
      <c r="T2376" s="57"/>
      <c r="U2376" s="57"/>
      <c r="V2376" s="57"/>
      <c r="W2376" s="57"/>
      <c r="X2376" s="57"/>
      <c r="Y2376" s="57"/>
      <c r="Z2376" s="57"/>
      <c r="AA2376" s="57"/>
      <c r="AB2376" s="57"/>
      <c r="AC2376" s="57"/>
      <c r="AD2376" s="57"/>
      <c r="AE2376" s="57"/>
      <c r="AF2376" s="57"/>
    </row>
    <row r="2377" spans="1:32" x14ac:dyDescent="0.2">
      <c r="A2377" s="57"/>
      <c r="B2377" s="57"/>
      <c r="C2377" s="57"/>
      <c r="D2377" s="57"/>
      <c r="E2377" s="57"/>
      <c r="F2377" s="985"/>
      <c r="G2377" s="57"/>
      <c r="H2377" s="57"/>
      <c r="I2377" s="990"/>
      <c r="J2377" s="57"/>
      <c r="K2377" s="57"/>
      <c r="L2377" s="57"/>
      <c r="M2377" s="57"/>
      <c r="N2377" s="57"/>
      <c r="O2377" s="57"/>
      <c r="P2377" s="57"/>
      <c r="Q2377" s="57"/>
      <c r="R2377" s="57"/>
      <c r="S2377" s="57"/>
      <c r="T2377" s="57"/>
      <c r="U2377" s="57"/>
      <c r="V2377" s="57"/>
      <c r="W2377" s="57"/>
      <c r="X2377" s="57"/>
      <c r="Y2377" s="57"/>
      <c r="Z2377" s="57"/>
      <c r="AA2377" s="57"/>
      <c r="AB2377" s="57"/>
      <c r="AC2377" s="57"/>
      <c r="AD2377" s="57"/>
      <c r="AE2377" s="57"/>
      <c r="AF2377" s="57"/>
    </row>
    <row r="2378" spans="1:32" x14ac:dyDescent="0.2">
      <c r="A2378" s="57"/>
      <c r="B2378" s="57"/>
      <c r="C2378" s="57"/>
      <c r="D2378" s="57"/>
      <c r="E2378" s="57"/>
      <c r="F2378" s="985"/>
      <c r="G2378" s="57"/>
      <c r="H2378" s="57"/>
      <c r="I2378" s="990"/>
      <c r="J2378" s="57"/>
      <c r="K2378" s="57"/>
      <c r="L2378" s="57"/>
      <c r="M2378" s="57"/>
      <c r="N2378" s="57"/>
      <c r="O2378" s="57"/>
      <c r="P2378" s="57"/>
      <c r="Q2378" s="57"/>
      <c r="R2378" s="57"/>
      <c r="S2378" s="57"/>
      <c r="T2378" s="57"/>
      <c r="U2378" s="57"/>
      <c r="V2378" s="57"/>
      <c r="W2378" s="57"/>
      <c r="X2378" s="57"/>
      <c r="Y2378" s="57"/>
      <c r="Z2378" s="57"/>
      <c r="AA2378" s="57"/>
      <c r="AB2378" s="57"/>
      <c r="AC2378" s="57"/>
      <c r="AD2378" s="57"/>
      <c r="AE2378" s="57"/>
      <c r="AF2378" s="57"/>
    </row>
    <row r="2379" spans="1:32" x14ac:dyDescent="0.2">
      <c r="A2379" s="57"/>
      <c r="B2379" s="57"/>
      <c r="C2379" s="57"/>
      <c r="D2379" s="57"/>
      <c r="E2379" s="57"/>
      <c r="F2379" s="985"/>
      <c r="G2379" s="57"/>
      <c r="H2379" s="57"/>
      <c r="I2379" s="990"/>
      <c r="J2379" s="57"/>
      <c r="K2379" s="57"/>
      <c r="L2379" s="57"/>
      <c r="M2379" s="57"/>
      <c r="N2379" s="57"/>
      <c r="O2379" s="57"/>
      <c r="P2379" s="57"/>
      <c r="Q2379" s="57"/>
      <c r="R2379" s="57"/>
      <c r="S2379" s="57"/>
      <c r="T2379" s="57"/>
      <c r="U2379" s="57"/>
      <c r="V2379" s="57"/>
      <c r="W2379" s="57"/>
      <c r="X2379" s="57"/>
      <c r="Y2379" s="57"/>
      <c r="Z2379" s="57"/>
      <c r="AA2379" s="57"/>
      <c r="AB2379" s="57"/>
      <c r="AC2379" s="57"/>
      <c r="AD2379" s="57"/>
      <c r="AE2379" s="57"/>
      <c r="AF2379" s="57"/>
    </row>
    <row r="2380" spans="1:32" x14ac:dyDescent="0.2">
      <c r="A2380" s="57"/>
      <c r="B2380" s="57"/>
      <c r="C2380" s="57"/>
      <c r="D2380" s="57"/>
      <c r="E2380" s="57"/>
      <c r="F2380" s="985"/>
      <c r="G2380" s="57"/>
      <c r="H2380" s="57"/>
      <c r="I2380" s="990"/>
      <c r="J2380" s="57"/>
      <c r="K2380" s="57"/>
      <c r="L2380" s="57"/>
      <c r="M2380" s="57"/>
      <c r="N2380" s="57"/>
      <c r="O2380" s="57"/>
      <c r="P2380" s="57"/>
      <c r="Q2380" s="57"/>
      <c r="R2380" s="57"/>
      <c r="S2380" s="57"/>
      <c r="T2380" s="57"/>
      <c r="U2380" s="57"/>
      <c r="V2380" s="57"/>
      <c r="W2380" s="57"/>
      <c r="X2380" s="57"/>
      <c r="Y2380" s="57"/>
      <c r="Z2380" s="57"/>
      <c r="AA2380" s="57"/>
      <c r="AB2380" s="57"/>
      <c r="AC2380" s="57"/>
      <c r="AD2380" s="57"/>
      <c r="AE2380" s="57"/>
      <c r="AF2380" s="57"/>
    </row>
    <row r="2381" spans="1:32" x14ac:dyDescent="0.2">
      <c r="A2381" s="57"/>
      <c r="B2381" s="57"/>
      <c r="C2381" s="57"/>
      <c r="D2381" s="57"/>
      <c r="E2381" s="57"/>
      <c r="F2381" s="985"/>
      <c r="G2381" s="57"/>
      <c r="H2381" s="57"/>
      <c r="I2381" s="990"/>
      <c r="J2381" s="57"/>
      <c r="K2381" s="57"/>
      <c r="L2381" s="57"/>
      <c r="M2381" s="57"/>
      <c r="N2381" s="57"/>
      <c r="O2381" s="57"/>
      <c r="P2381" s="57"/>
      <c r="Q2381" s="57"/>
      <c r="R2381" s="57"/>
      <c r="S2381" s="57"/>
      <c r="T2381" s="57"/>
      <c r="U2381" s="57"/>
      <c r="V2381" s="57"/>
      <c r="W2381" s="57"/>
      <c r="X2381" s="57"/>
      <c r="Y2381" s="57"/>
      <c r="Z2381" s="57"/>
      <c r="AA2381" s="57"/>
      <c r="AB2381" s="57"/>
      <c r="AC2381" s="57"/>
      <c r="AD2381" s="57"/>
      <c r="AE2381" s="57"/>
      <c r="AF2381" s="57"/>
    </row>
    <row r="2382" spans="1:32" x14ac:dyDescent="0.2">
      <c r="A2382" s="57"/>
      <c r="B2382" s="57"/>
      <c r="C2382" s="57"/>
      <c r="D2382" s="57"/>
      <c r="E2382" s="57"/>
      <c r="F2382" s="985"/>
      <c r="G2382" s="57"/>
      <c r="H2382" s="57"/>
      <c r="I2382" s="990"/>
      <c r="J2382" s="57"/>
      <c r="K2382" s="57"/>
      <c r="L2382" s="57"/>
      <c r="M2382" s="57"/>
      <c r="N2382" s="57"/>
      <c r="O2382" s="57"/>
      <c r="P2382" s="57"/>
      <c r="Q2382" s="57"/>
      <c r="R2382" s="57"/>
      <c r="S2382" s="57"/>
      <c r="T2382" s="57"/>
      <c r="U2382" s="57"/>
      <c r="V2382" s="57"/>
      <c r="W2382" s="57"/>
      <c r="X2382" s="57"/>
      <c r="Y2382" s="57"/>
      <c r="Z2382" s="57"/>
      <c r="AA2382" s="57"/>
      <c r="AB2382" s="57"/>
      <c r="AC2382" s="57"/>
      <c r="AD2382" s="57"/>
      <c r="AE2382" s="57"/>
      <c r="AF2382" s="57"/>
    </row>
    <row r="2383" spans="1:32" x14ac:dyDescent="0.2">
      <c r="A2383" s="57"/>
      <c r="B2383" s="57"/>
      <c r="C2383" s="57"/>
      <c r="D2383" s="57"/>
      <c r="E2383" s="57"/>
      <c r="F2383" s="985"/>
      <c r="G2383" s="57"/>
      <c r="H2383" s="57"/>
      <c r="I2383" s="990"/>
      <c r="J2383" s="57"/>
      <c r="K2383" s="57"/>
      <c r="L2383" s="57"/>
      <c r="M2383" s="57"/>
      <c r="N2383" s="57"/>
      <c r="O2383" s="57"/>
      <c r="P2383" s="57"/>
      <c r="Q2383" s="57"/>
      <c r="R2383" s="57"/>
      <c r="S2383" s="57"/>
      <c r="T2383" s="57"/>
      <c r="U2383" s="57"/>
      <c r="V2383" s="57"/>
      <c r="W2383" s="57"/>
      <c r="X2383" s="57"/>
      <c r="Y2383" s="57"/>
      <c r="Z2383" s="57"/>
      <c r="AA2383" s="57"/>
      <c r="AB2383" s="57"/>
      <c r="AC2383" s="57"/>
      <c r="AD2383" s="57"/>
      <c r="AE2383" s="57"/>
      <c r="AF2383" s="57"/>
    </row>
    <row r="2384" spans="1:32" x14ac:dyDescent="0.2">
      <c r="A2384" s="57"/>
      <c r="B2384" s="57"/>
      <c r="C2384" s="57"/>
      <c r="D2384" s="57"/>
      <c r="E2384" s="57"/>
      <c r="F2384" s="985"/>
      <c r="G2384" s="57"/>
      <c r="H2384" s="57"/>
      <c r="I2384" s="990"/>
      <c r="J2384" s="57"/>
      <c r="K2384" s="57"/>
      <c r="L2384" s="57"/>
      <c r="M2384" s="57"/>
      <c r="N2384" s="57"/>
      <c r="O2384" s="57"/>
      <c r="P2384" s="57"/>
      <c r="Q2384" s="57"/>
      <c r="R2384" s="57"/>
      <c r="S2384" s="57"/>
      <c r="T2384" s="57"/>
      <c r="U2384" s="57"/>
      <c r="V2384" s="57"/>
      <c r="W2384" s="57"/>
      <c r="X2384" s="57"/>
      <c r="Y2384" s="57"/>
      <c r="Z2384" s="57"/>
      <c r="AA2384" s="57"/>
      <c r="AB2384" s="57"/>
      <c r="AC2384" s="57"/>
      <c r="AD2384" s="57"/>
      <c r="AE2384" s="57"/>
      <c r="AF2384" s="57"/>
    </row>
    <row r="2385" spans="1:32" x14ac:dyDescent="0.2">
      <c r="A2385" s="57"/>
      <c r="B2385" s="57"/>
      <c r="C2385" s="57"/>
      <c r="D2385" s="57"/>
      <c r="E2385" s="57"/>
      <c r="F2385" s="985"/>
      <c r="G2385" s="57"/>
      <c r="H2385" s="57"/>
      <c r="I2385" s="990"/>
      <c r="J2385" s="57"/>
      <c r="K2385" s="57"/>
      <c r="L2385" s="57"/>
      <c r="M2385" s="57"/>
      <c r="N2385" s="57"/>
      <c r="O2385" s="57"/>
      <c r="P2385" s="57"/>
      <c r="Q2385" s="57"/>
      <c r="R2385" s="57"/>
      <c r="S2385" s="57"/>
      <c r="T2385" s="57"/>
      <c r="U2385" s="57"/>
      <c r="V2385" s="57"/>
      <c r="W2385" s="57"/>
      <c r="X2385" s="57"/>
      <c r="Y2385" s="57"/>
      <c r="Z2385" s="57"/>
      <c r="AA2385" s="57"/>
      <c r="AB2385" s="57"/>
      <c r="AC2385" s="57"/>
      <c r="AD2385" s="57"/>
      <c r="AE2385" s="57"/>
      <c r="AF2385" s="57"/>
    </row>
    <row r="2386" spans="1:32" x14ac:dyDescent="0.2">
      <c r="A2386" s="57"/>
      <c r="B2386" s="57"/>
      <c r="C2386" s="57"/>
      <c r="D2386" s="57"/>
      <c r="E2386" s="57"/>
      <c r="F2386" s="985"/>
      <c r="G2386" s="57"/>
      <c r="H2386" s="57"/>
      <c r="I2386" s="990"/>
      <c r="J2386" s="57"/>
      <c r="K2386" s="57"/>
      <c r="L2386" s="57"/>
      <c r="M2386" s="57"/>
      <c r="N2386" s="57"/>
      <c r="O2386" s="57"/>
      <c r="P2386" s="57"/>
      <c r="Q2386" s="57"/>
      <c r="R2386" s="57"/>
      <c r="S2386" s="57"/>
      <c r="T2386" s="57"/>
      <c r="U2386" s="57"/>
      <c r="V2386" s="57"/>
      <c r="W2386" s="57"/>
      <c r="X2386" s="57"/>
      <c r="Y2386" s="57"/>
      <c r="Z2386" s="57"/>
      <c r="AA2386" s="57"/>
      <c r="AB2386" s="57"/>
      <c r="AC2386" s="57"/>
      <c r="AD2386" s="57"/>
      <c r="AE2386" s="57"/>
      <c r="AF2386" s="57"/>
    </row>
    <row r="2387" spans="1:32" x14ac:dyDescent="0.2">
      <c r="A2387" s="57"/>
      <c r="B2387" s="57"/>
      <c r="C2387" s="57"/>
      <c r="D2387" s="57"/>
      <c r="E2387" s="57"/>
      <c r="F2387" s="985"/>
      <c r="G2387" s="57"/>
      <c r="H2387" s="57"/>
      <c r="I2387" s="990"/>
      <c r="J2387" s="57"/>
      <c r="K2387" s="57"/>
      <c r="L2387" s="57"/>
      <c r="M2387" s="57"/>
      <c r="N2387" s="57"/>
      <c r="O2387" s="57"/>
      <c r="P2387" s="57"/>
      <c r="Q2387" s="57"/>
      <c r="R2387" s="57"/>
      <c r="S2387" s="57"/>
      <c r="T2387" s="57"/>
      <c r="U2387" s="57"/>
      <c r="V2387" s="57"/>
      <c r="W2387" s="57"/>
      <c r="X2387" s="57"/>
      <c r="Y2387" s="57"/>
      <c r="Z2387" s="57"/>
      <c r="AA2387" s="57"/>
      <c r="AB2387" s="57"/>
      <c r="AC2387" s="57"/>
      <c r="AD2387" s="57"/>
      <c r="AE2387" s="57"/>
      <c r="AF2387" s="57"/>
    </row>
    <row r="2388" spans="1:32" x14ac:dyDescent="0.2">
      <c r="A2388" s="57"/>
      <c r="B2388" s="57"/>
      <c r="C2388" s="57"/>
      <c r="D2388" s="57"/>
      <c r="E2388" s="57"/>
      <c r="F2388" s="985"/>
      <c r="G2388" s="57"/>
      <c r="H2388" s="57"/>
      <c r="I2388" s="990"/>
      <c r="J2388" s="57"/>
      <c r="K2388" s="57"/>
      <c r="L2388" s="57"/>
      <c r="M2388" s="57"/>
      <c r="N2388" s="57"/>
      <c r="O2388" s="57"/>
      <c r="P2388" s="57"/>
      <c r="Q2388" s="57"/>
      <c r="R2388" s="57"/>
      <c r="S2388" s="57"/>
      <c r="T2388" s="57"/>
      <c r="U2388" s="57"/>
      <c r="V2388" s="57"/>
      <c r="W2388" s="57"/>
      <c r="X2388" s="57"/>
      <c r="Y2388" s="57"/>
      <c r="Z2388" s="57"/>
      <c r="AA2388" s="57"/>
      <c r="AB2388" s="57"/>
      <c r="AC2388" s="57"/>
      <c r="AD2388" s="57"/>
      <c r="AE2388" s="57"/>
      <c r="AF2388" s="57"/>
    </row>
    <row r="2389" spans="1:32" x14ac:dyDescent="0.2">
      <c r="A2389" s="57"/>
      <c r="B2389" s="57"/>
      <c r="C2389" s="57"/>
      <c r="D2389" s="57"/>
      <c r="E2389" s="57"/>
      <c r="F2389" s="985"/>
      <c r="G2389" s="57"/>
      <c r="H2389" s="57"/>
      <c r="I2389" s="990"/>
      <c r="J2389" s="57"/>
      <c r="K2389" s="57"/>
      <c r="L2389" s="57"/>
      <c r="M2389" s="57"/>
      <c r="N2389" s="57"/>
      <c r="O2389" s="57"/>
      <c r="P2389" s="57"/>
      <c r="Q2389" s="57"/>
      <c r="R2389" s="57"/>
      <c r="S2389" s="57"/>
      <c r="T2389" s="57"/>
      <c r="U2389" s="57"/>
      <c r="V2389" s="57"/>
      <c r="W2389" s="57"/>
      <c r="X2389" s="57"/>
      <c r="Y2389" s="57"/>
      <c r="Z2389" s="57"/>
      <c r="AA2389" s="57"/>
      <c r="AB2389" s="57"/>
      <c r="AC2389" s="57"/>
      <c r="AD2389" s="57"/>
      <c r="AE2389" s="57"/>
      <c r="AF2389" s="57"/>
    </row>
    <row r="2390" spans="1:32" x14ac:dyDescent="0.2">
      <c r="A2390" s="57"/>
      <c r="B2390" s="57"/>
      <c r="C2390" s="57"/>
      <c r="D2390" s="57"/>
      <c r="E2390" s="57"/>
      <c r="F2390" s="985"/>
      <c r="G2390" s="57"/>
      <c r="H2390" s="57"/>
      <c r="I2390" s="990"/>
      <c r="J2390" s="57"/>
      <c r="K2390" s="57"/>
      <c r="L2390" s="57"/>
      <c r="M2390" s="57"/>
      <c r="N2390" s="57"/>
      <c r="O2390" s="57"/>
      <c r="P2390" s="57"/>
      <c r="Q2390" s="57"/>
      <c r="R2390" s="57"/>
      <c r="S2390" s="57"/>
      <c r="T2390" s="57"/>
      <c r="U2390" s="57"/>
      <c r="V2390" s="57"/>
      <c r="W2390" s="57"/>
      <c r="X2390" s="57"/>
      <c r="Y2390" s="57"/>
      <c r="Z2390" s="57"/>
      <c r="AA2390" s="57"/>
      <c r="AB2390" s="57"/>
      <c r="AC2390" s="57"/>
      <c r="AD2390" s="57"/>
      <c r="AE2390" s="57"/>
      <c r="AF2390" s="57"/>
    </row>
    <row r="2391" spans="1:32" x14ac:dyDescent="0.2">
      <c r="A2391" s="57"/>
      <c r="B2391" s="57"/>
      <c r="C2391" s="57"/>
      <c r="D2391" s="57"/>
      <c r="E2391" s="57"/>
      <c r="F2391" s="985"/>
      <c r="G2391" s="57"/>
      <c r="H2391" s="57"/>
      <c r="I2391" s="990"/>
      <c r="J2391" s="57"/>
      <c r="K2391" s="57"/>
      <c r="L2391" s="57"/>
      <c r="M2391" s="57"/>
      <c r="N2391" s="57"/>
      <c r="O2391" s="57"/>
      <c r="P2391" s="57"/>
      <c r="Q2391" s="57"/>
      <c r="R2391" s="57"/>
      <c r="S2391" s="57"/>
      <c r="T2391" s="57"/>
      <c r="U2391" s="57"/>
      <c r="V2391" s="57"/>
      <c r="W2391" s="57"/>
      <c r="X2391" s="57"/>
      <c r="Y2391" s="57"/>
      <c r="Z2391" s="57"/>
      <c r="AA2391" s="57"/>
      <c r="AB2391" s="57"/>
      <c r="AC2391" s="57"/>
      <c r="AD2391" s="57"/>
      <c r="AE2391" s="57"/>
      <c r="AF2391" s="57"/>
    </row>
    <row r="2392" spans="1:32" x14ac:dyDescent="0.2">
      <c r="A2392" s="57"/>
      <c r="B2392" s="57"/>
      <c r="C2392" s="57"/>
      <c r="D2392" s="57"/>
      <c r="E2392" s="57"/>
      <c r="F2392" s="985"/>
      <c r="G2392" s="57"/>
      <c r="H2392" s="57"/>
      <c r="I2392" s="990"/>
      <c r="J2392" s="57"/>
      <c r="K2392" s="57"/>
      <c r="L2392" s="57"/>
      <c r="M2392" s="57"/>
      <c r="N2392" s="57"/>
      <c r="O2392" s="57"/>
      <c r="P2392" s="57"/>
      <c r="Q2392" s="57"/>
      <c r="R2392" s="57"/>
      <c r="S2392" s="57"/>
      <c r="T2392" s="57"/>
      <c r="U2392" s="57"/>
      <c r="V2392" s="57"/>
      <c r="W2392" s="57"/>
      <c r="X2392" s="57"/>
      <c r="Y2392" s="57"/>
      <c r="Z2392" s="57"/>
      <c r="AA2392" s="57"/>
      <c r="AB2392" s="57"/>
      <c r="AC2392" s="57"/>
      <c r="AD2392" s="57"/>
      <c r="AE2392" s="57"/>
      <c r="AF2392" s="57"/>
    </row>
    <row r="2393" spans="1:32" x14ac:dyDescent="0.2">
      <c r="A2393" s="57"/>
      <c r="B2393" s="57"/>
      <c r="C2393" s="57"/>
      <c r="D2393" s="57"/>
      <c r="E2393" s="57"/>
      <c r="F2393" s="985"/>
      <c r="G2393" s="57"/>
      <c r="H2393" s="57"/>
      <c r="I2393" s="990"/>
      <c r="J2393" s="57"/>
      <c r="K2393" s="57"/>
      <c r="L2393" s="57"/>
      <c r="M2393" s="57"/>
      <c r="N2393" s="57"/>
      <c r="O2393" s="57"/>
      <c r="P2393" s="57"/>
      <c r="Q2393" s="57"/>
      <c r="R2393" s="57"/>
      <c r="S2393" s="57"/>
      <c r="T2393" s="57"/>
      <c r="U2393" s="57"/>
      <c r="V2393" s="57"/>
      <c r="W2393" s="57"/>
      <c r="X2393" s="57"/>
      <c r="Y2393" s="57"/>
      <c r="Z2393" s="57"/>
      <c r="AA2393" s="57"/>
      <c r="AB2393" s="57"/>
      <c r="AC2393" s="57"/>
      <c r="AD2393" s="57"/>
      <c r="AE2393" s="57"/>
      <c r="AF2393" s="57"/>
    </row>
    <row r="2394" spans="1:32" x14ac:dyDescent="0.2">
      <c r="A2394" s="57"/>
      <c r="B2394" s="57"/>
      <c r="C2394" s="57"/>
      <c r="D2394" s="57"/>
      <c r="E2394" s="57"/>
      <c r="F2394" s="985"/>
      <c r="G2394" s="57"/>
      <c r="H2394" s="57"/>
      <c r="I2394" s="990"/>
      <c r="J2394" s="57"/>
      <c r="K2394" s="57"/>
      <c r="L2394" s="57"/>
      <c r="M2394" s="57"/>
      <c r="N2394" s="57"/>
      <c r="O2394" s="57"/>
      <c r="P2394" s="57"/>
      <c r="Q2394" s="57"/>
      <c r="R2394" s="57"/>
      <c r="S2394" s="57"/>
      <c r="T2394" s="57"/>
      <c r="U2394" s="57"/>
      <c r="V2394" s="57"/>
      <c r="W2394" s="57"/>
      <c r="X2394" s="57"/>
      <c r="Y2394" s="57"/>
      <c r="Z2394" s="57"/>
      <c r="AA2394" s="57"/>
      <c r="AB2394" s="57"/>
      <c r="AC2394" s="57"/>
      <c r="AD2394" s="57"/>
      <c r="AE2394" s="57"/>
      <c r="AF2394" s="57"/>
    </row>
    <row r="2395" spans="1:32" x14ac:dyDescent="0.2">
      <c r="A2395" s="57"/>
      <c r="B2395" s="57"/>
      <c r="C2395" s="57"/>
      <c r="D2395" s="57"/>
      <c r="E2395" s="57"/>
      <c r="F2395" s="985"/>
      <c r="G2395" s="57"/>
      <c r="H2395" s="57"/>
      <c r="I2395" s="990"/>
      <c r="J2395" s="57"/>
      <c r="K2395" s="57"/>
      <c r="L2395" s="57"/>
      <c r="M2395" s="57"/>
      <c r="N2395" s="57"/>
      <c r="O2395" s="57"/>
      <c r="P2395" s="57"/>
      <c r="Q2395" s="57"/>
      <c r="R2395" s="57"/>
      <c r="S2395" s="57"/>
      <c r="T2395" s="57"/>
      <c r="U2395" s="57"/>
      <c r="V2395" s="57"/>
      <c r="W2395" s="57"/>
      <c r="X2395" s="57"/>
      <c r="Y2395" s="57"/>
      <c r="Z2395" s="57"/>
      <c r="AA2395" s="57"/>
      <c r="AB2395" s="57"/>
      <c r="AC2395" s="57"/>
      <c r="AD2395" s="57"/>
      <c r="AE2395" s="57"/>
      <c r="AF2395" s="57"/>
    </row>
    <row r="2396" spans="1:32" x14ac:dyDescent="0.2">
      <c r="A2396" s="57"/>
      <c r="B2396" s="57"/>
      <c r="C2396" s="57"/>
      <c r="D2396" s="57"/>
      <c r="E2396" s="57"/>
      <c r="F2396" s="985"/>
      <c r="G2396" s="57"/>
      <c r="H2396" s="57"/>
      <c r="I2396" s="990"/>
      <c r="J2396" s="57"/>
      <c r="K2396" s="57"/>
      <c r="L2396" s="57"/>
      <c r="M2396" s="57"/>
      <c r="N2396" s="57"/>
      <c r="O2396" s="57"/>
      <c r="P2396" s="57"/>
      <c r="Q2396" s="57"/>
      <c r="R2396" s="57"/>
      <c r="S2396" s="57"/>
      <c r="T2396" s="57"/>
      <c r="U2396" s="57"/>
      <c r="V2396" s="57"/>
      <c r="W2396" s="57"/>
      <c r="X2396" s="57"/>
      <c r="Y2396" s="57"/>
      <c r="Z2396" s="57"/>
      <c r="AA2396" s="57"/>
      <c r="AB2396" s="57"/>
      <c r="AC2396" s="57"/>
      <c r="AD2396" s="57"/>
      <c r="AE2396" s="57"/>
      <c r="AF2396" s="57"/>
    </row>
    <row r="2397" spans="1:32" x14ac:dyDescent="0.2">
      <c r="A2397" s="57"/>
      <c r="B2397" s="57"/>
      <c r="C2397" s="57"/>
      <c r="D2397" s="57"/>
      <c r="E2397" s="57"/>
      <c r="F2397" s="985"/>
      <c r="G2397" s="57"/>
      <c r="H2397" s="57"/>
      <c r="I2397" s="990"/>
      <c r="J2397" s="57"/>
      <c r="K2397" s="57"/>
      <c r="L2397" s="57"/>
      <c r="M2397" s="57"/>
      <c r="N2397" s="57"/>
      <c r="O2397" s="57"/>
      <c r="P2397" s="57"/>
      <c r="Q2397" s="57"/>
      <c r="R2397" s="57"/>
      <c r="S2397" s="57"/>
      <c r="T2397" s="57"/>
      <c r="U2397" s="57"/>
      <c r="V2397" s="57"/>
      <c r="W2397" s="57"/>
      <c r="X2397" s="57"/>
      <c r="Y2397" s="57"/>
      <c r="Z2397" s="57"/>
      <c r="AA2397" s="57"/>
      <c r="AB2397" s="57"/>
      <c r="AC2397" s="57"/>
      <c r="AD2397" s="57"/>
      <c r="AE2397" s="57"/>
      <c r="AF2397" s="57"/>
    </row>
    <row r="2398" spans="1:32" x14ac:dyDescent="0.2">
      <c r="A2398" s="57"/>
      <c r="B2398" s="57"/>
      <c r="C2398" s="57"/>
      <c r="D2398" s="57"/>
      <c r="E2398" s="57"/>
      <c r="F2398" s="985"/>
      <c r="G2398" s="57"/>
      <c r="H2398" s="57"/>
      <c r="I2398" s="990"/>
      <c r="J2398" s="57"/>
      <c r="K2398" s="57"/>
      <c r="L2398" s="57"/>
      <c r="M2398" s="57"/>
      <c r="N2398" s="57"/>
      <c r="O2398" s="57"/>
      <c r="P2398" s="57"/>
      <c r="Q2398" s="57"/>
      <c r="R2398" s="57"/>
      <c r="S2398" s="57"/>
      <c r="T2398" s="57"/>
      <c r="U2398" s="57"/>
      <c r="V2398" s="57"/>
      <c r="W2398" s="57"/>
      <c r="X2398" s="57"/>
      <c r="Y2398" s="57"/>
      <c r="Z2398" s="57"/>
      <c r="AA2398" s="57"/>
      <c r="AB2398" s="57"/>
      <c r="AC2398" s="57"/>
      <c r="AD2398" s="57"/>
      <c r="AE2398" s="57"/>
      <c r="AF2398" s="57"/>
    </row>
    <row r="2399" spans="1:32" x14ac:dyDescent="0.2">
      <c r="A2399" s="57"/>
      <c r="B2399" s="57"/>
      <c r="C2399" s="57"/>
      <c r="D2399" s="57"/>
      <c r="E2399" s="57"/>
      <c r="F2399" s="985"/>
      <c r="G2399" s="57"/>
      <c r="H2399" s="57"/>
      <c r="I2399" s="990"/>
      <c r="J2399" s="57"/>
      <c r="K2399" s="57"/>
      <c r="L2399" s="57"/>
      <c r="M2399" s="57"/>
      <c r="N2399" s="57"/>
      <c r="O2399" s="57"/>
      <c r="P2399" s="57"/>
      <c r="Q2399" s="57"/>
      <c r="R2399" s="57"/>
      <c r="S2399" s="57"/>
      <c r="T2399" s="57"/>
      <c r="U2399" s="57"/>
      <c r="V2399" s="57"/>
      <c r="W2399" s="57"/>
      <c r="X2399" s="57"/>
      <c r="Y2399" s="57"/>
      <c r="Z2399" s="57"/>
      <c r="AA2399" s="57"/>
      <c r="AB2399" s="57"/>
      <c r="AC2399" s="57"/>
      <c r="AD2399" s="57"/>
      <c r="AE2399" s="57"/>
      <c r="AF2399" s="57"/>
    </row>
    <row r="2400" spans="1:32" x14ac:dyDescent="0.2">
      <c r="A2400" s="57"/>
      <c r="B2400" s="57"/>
      <c r="C2400" s="57"/>
      <c r="D2400" s="57"/>
      <c r="E2400" s="57"/>
      <c r="F2400" s="985"/>
      <c r="G2400" s="57"/>
      <c r="H2400" s="57"/>
      <c r="I2400" s="990"/>
      <c r="J2400" s="57"/>
      <c r="K2400" s="57"/>
      <c r="L2400" s="57"/>
      <c r="M2400" s="57"/>
      <c r="N2400" s="57"/>
      <c r="O2400" s="57"/>
      <c r="P2400" s="57"/>
      <c r="Q2400" s="57"/>
      <c r="R2400" s="57"/>
      <c r="S2400" s="57"/>
      <c r="T2400" s="57"/>
      <c r="U2400" s="57"/>
      <c r="V2400" s="57"/>
      <c r="W2400" s="57"/>
      <c r="X2400" s="57"/>
      <c r="Y2400" s="57"/>
      <c r="Z2400" s="57"/>
      <c r="AA2400" s="57"/>
      <c r="AB2400" s="57"/>
      <c r="AC2400" s="57"/>
      <c r="AD2400" s="57"/>
      <c r="AE2400" s="57"/>
      <c r="AF2400" s="57"/>
    </row>
    <row r="2401" spans="1:32" x14ac:dyDescent="0.2">
      <c r="A2401" s="57"/>
      <c r="B2401" s="57"/>
      <c r="C2401" s="57"/>
      <c r="D2401" s="57"/>
      <c r="E2401" s="57"/>
      <c r="F2401" s="985"/>
      <c r="G2401" s="57"/>
      <c r="H2401" s="57"/>
      <c r="I2401" s="990"/>
      <c r="J2401" s="57"/>
      <c r="K2401" s="57"/>
      <c r="L2401" s="57"/>
      <c r="M2401" s="57"/>
      <c r="N2401" s="57"/>
      <c r="O2401" s="57"/>
      <c r="P2401" s="57"/>
      <c r="Q2401" s="57"/>
      <c r="R2401" s="57"/>
      <c r="S2401" s="57"/>
      <c r="T2401" s="57"/>
      <c r="U2401" s="57"/>
      <c r="V2401" s="57"/>
      <c r="W2401" s="57"/>
      <c r="X2401" s="57"/>
      <c r="Y2401" s="57"/>
      <c r="Z2401" s="57"/>
      <c r="AA2401" s="57"/>
      <c r="AB2401" s="57"/>
      <c r="AC2401" s="57"/>
      <c r="AD2401" s="57"/>
      <c r="AE2401" s="57"/>
      <c r="AF2401" s="57"/>
    </row>
    <row r="2402" spans="1:32" x14ac:dyDescent="0.2">
      <c r="A2402" s="57"/>
      <c r="B2402" s="57"/>
      <c r="C2402" s="57"/>
      <c r="D2402" s="57"/>
      <c r="E2402" s="57"/>
      <c r="F2402" s="985"/>
      <c r="G2402" s="57"/>
      <c r="H2402" s="57"/>
      <c r="I2402" s="990"/>
      <c r="J2402" s="57"/>
      <c r="K2402" s="57"/>
      <c r="L2402" s="57"/>
      <c r="M2402" s="57"/>
      <c r="N2402" s="57"/>
      <c r="O2402" s="57"/>
      <c r="P2402" s="57"/>
      <c r="Q2402" s="57"/>
      <c r="R2402" s="57"/>
      <c r="S2402" s="57"/>
      <c r="T2402" s="57"/>
      <c r="U2402" s="57"/>
      <c r="V2402" s="57"/>
      <c r="W2402" s="57"/>
      <c r="X2402" s="57"/>
      <c r="Y2402" s="57"/>
      <c r="Z2402" s="57"/>
      <c r="AA2402" s="57"/>
      <c r="AB2402" s="57"/>
      <c r="AC2402" s="57"/>
      <c r="AD2402" s="57"/>
      <c r="AE2402" s="57"/>
      <c r="AF2402" s="57"/>
    </row>
    <row r="2403" spans="1:32" x14ac:dyDescent="0.2">
      <c r="A2403" s="57"/>
      <c r="B2403" s="57"/>
      <c r="C2403" s="57"/>
      <c r="D2403" s="57"/>
      <c r="E2403" s="57"/>
      <c r="F2403" s="985"/>
      <c r="G2403" s="57"/>
      <c r="H2403" s="57"/>
      <c r="I2403" s="990"/>
      <c r="J2403" s="57"/>
      <c r="K2403" s="57"/>
      <c r="L2403" s="57"/>
      <c r="M2403" s="57"/>
      <c r="N2403" s="57"/>
      <c r="O2403" s="57"/>
      <c r="P2403" s="57"/>
      <c r="Q2403" s="57"/>
      <c r="R2403" s="57"/>
      <c r="S2403" s="57"/>
      <c r="T2403" s="57"/>
      <c r="U2403" s="57"/>
      <c r="V2403" s="57"/>
      <c r="W2403" s="57"/>
      <c r="X2403" s="57"/>
      <c r="Y2403" s="57"/>
      <c r="Z2403" s="57"/>
      <c r="AA2403" s="57"/>
      <c r="AB2403" s="57"/>
      <c r="AC2403" s="57"/>
      <c r="AD2403" s="57"/>
      <c r="AE2403" s="57"/>
      <c r="AF2403" s="57"/>
    </row>
    <row r="2404" spans="1:32" x14ac:dyDescent="0.2">
      <c r="A2404" s="57"/>
      <c r="B2404" s="57"/>
      <c r="C2404" s="57"/>
      <c r="D2404" s="57"/>
      <c r="E2404" s="57"/>
      <c r="F2404" s="985"/>
      <c r="G2404" s="57"/>
      <c r="H2404" s="57"/>
      <c r="I2404" s="990"/>
      <c r="J2404" s="57"/>
      <c r="K2404" s="57"/>
      <c r="L2404" s="57"/>
      <c r="M2404" s="57"/>
      <c r="N2404" s="57"/>
      <c r="O2404" s="57"/>
      <c r="P2404" s="57"/>
      <c r="Q2404" s="57"/>
      <c r="R2404" s="57"/>
      <c r="S2404" s="57"/>
      <c r="T2404" s="57"/>
      <c r="U2404" s="57"/>
      <c r="V2404" s="57"/>
      <c r="W2404" s="57"/>
      <c r="X2404" s="57"/>
      <c r="Y2404" s="57"/>
      <c r="Z2404" s="57"/>
      <c r="AA2404" s="57"/>
      <c r="AB2404" s="57"/>
      <c r="AC2404" s="57"/>
      <c r="AD2404" s="57"/>
      <c r="AE2404" s="57"/>
      <c r="AF2404" s="57"/>
    </row>
    <row r="2405" spans="1:32" x14ac:dyDescent="0.2">
      <c r="A2405" s="57"/>
      <c r="B2405" s="57"/>
      <c r="C2405" s="57"/>
      <c r="D2405" s="57"/>
      <c r="E2405" s="57"/>
      <c r="F2405" s="985"/>
      <c r="G2405" s="57"/>
      <c r="H2405" s="57"/>
      <c r="I2405" s="990"/>
      <c r="J2405" s="57"/>
      <c r="K2405" s="57"/>
      <c r="L2405" s="57"/>
      <c r="M2405" s="57"/>
      <c r="N2405" s="57"/>
      <c r="O2405" s="57"/>
      <c r="P2405" s="57"/>
      <c r="Q2405" s="57"/>
      <c r="R2405" s="57"/>
      <c r="S2405" s="57"/>
      <c r="T2405" s="57"/>
      <c r="U2405" s="57"/>
      <c r="V2405" s="57"/>
      <c r="W2405" s="57"/>
      <c r="X2405" s="57"/>
      <c r="Y2405" s="57"/>
      <c r="Z2405" s="57"/>
      <c r="AA2405" s="57"/>
      <c r="AB2405" s="57"/>
      <c r="AC2405" s="57"/>
      <c r="AD2405" s="57"/>
      <c r="AE2405" s="57"/>
      <c r="AF2405" s="57"/>
    </row>
    <row r="2406" spans="1:32" x14ac:dyDescent="0.2">
      <c r="A2406" s="57"/>
      <c r="B2406" s="57"/>
      <c r="C2406" s="57"/>
      <c r="D2406" s="57"/>
      <c r="E2406" s="57"/>
      <c r="F2406" s="985"/>
      <c r="G2406" s="57"/>
      <c r="H2406" s="57"/>
      <c r="I2406" s="990"/>
      <c r="J2406" s="57"/>
      <c r="K2406" s="57"/>
      <c r="L2406" s="57"/>
      <c r="M2406" s="57"/>
      <c r="N2406" s="57"/>
      <c r="O2406" s="57"/>
      <c r="P2406" s="57"/>
      <c r="Q2406" s="57"/>
      <c r="R2406" s="57"/>
      <c r="S2406" s="57"/>
      <c r="T2406" s="57"/>
      <c r="U2406" s="57"/>
      <c r="V2406" s="57"/>
      <c r="W2406" s="57"/>
      <c r="X2406" s="57"/>
      <c r="Y2406" s="57"/>
      <c r="Z2406" s="57"/>
      <c r="AA2406" s="57"/>
      <c r="AB2406" s="57"/>
      <c r="AC2406" s="57"/>
      <c r="AD2406" s="57"/>
      <c r="AE2406" s="57"/>
      <c r="AF2406" s="57"/>
    </row>
    <row r="2407" spans="1:32" x14ac:dyDescent="0.2">
      <c r="A2407" s="57"/>
      <c r="B2407" s="57"/>
      <c r="C2407" s="57"/>
      <c r="D2407" s="57"/>
      <c r="E2407" s="57"/>
      <c r="F2407" s="985"/>
      <c r="G2407" s="57"/>
      <c r="H2407" s="57"/>
      <c r="I2407" s="990"/>
      <c r="J2407" s="57"/>
      <c r="K2407" s="57"/>
      <c r="L2407" s="57"/>
      <c r="M2407" s="57"/>
      <c r="N2407" s="57"/>
      <c r="O2407" s="57"/>
      <c r="P2407" s="57"/>
      <c r="Q2407" s="57"/>
      <c r="R2407" s="57"/>
      <c r="S2407" s="57"/>
      <c r="T2407" s="57"/>
      <c r="U2407" s="57"/>
      <c r="V2407" s="57"/>
      <c r="W2407" s="57"/>
      <c r="X2407" s="57"/>
      <c r="Y2407" s="57"/>
      <c r="Z2407" s="57"/>
      <c r="AA2407" s="57"/>
      <c r="AB2407" s="57"/>
      <c r="AC2407" s="57"/>
      <c r="AD2407" s="57"/>
      <c r="AE2407" s="57"/>
      <c r="AF2407" s="57"/>
    </row>
    <row r="2408" spans="1:32" x14ac:dyDescent="0.2">
      <c r="A2408" s="57"/>
      <c r="B2408" s="57"/>
      <c r="C2408" s="57"/>
      <c r="D2408" s="57"/>
      <c r="E2408" s="57"/>
      <c r="F2408" s="985"/>
      <c r="G2408" s="57"/>
      <c r="H2408" s="57"/>
      <c r="I2408" s="990"/>
      <c r="J2408" s="57"/>
      <c r="K2408" s="57"/>
      <c r="L2408" s="57"/>
      <c r="M2408" s="57"/>
      <c r="N2408" s="57"/>
      <c r="O2408" s="57"/>
      <c r="P2408" s="57"/>
      <c r="Q2408" s="57"/>
      <c r="R2408" s="57"/>
      <c r="S2408" s="57"/>
      <c r="T2408" s="57"/>
      <c r="U2408" s="57"/>
      <c r="V2408" s="57"/>
      <c r="W2408" s="57"/>
      <c r="X2408" s="57"/>
      <c r="Y2408" s="57"/>
      <c r="Z2408" s="57"/>
      <c r="AA2408" s="57"/>
      <c r="AB2408" s="57"/>
      <c r="AC2408" s="57"/>
      <c r="AD2408" s="57"/>
      <c r="AE2408" s="57"/>
      <c r="AF2408" s="57"/>
    </row>
    <row r="2409" spans="1:32" x14ac:dyDescent="0.2">
      <c r="A2409" s="57"/>
      <c r="B2409" s="57"/>
      <c r="C2409" s="57"/>
      <c r="D2409" s="57"/>
      <c r="E2409" s="57"/>
      <c r="F2409" s="985"/>
      <c r="G2409" s="57"/>
      <c r="H2409" s="57"/>
      <c r="I2409" s="990"/>
      <c r="J2409" s="57"/>
      <c r="K2409" s="57"/>
      <c r="L2409" s="57"/>
      <c r="M2409" s="57"/>
      <c r="N2409" s="57"/>
      <c r="O2409" s="57"/>
      <c r="P2409" s="57"/>
      <c r="Q2409" s="57"/>
      <c r="R2409" s="57"/>
      <c r="S2409" s="57"/>
      <c r="T2409" s="57"/>
      <c r="U2409" s="57"/>
      <c r="V2409" s="57"/>
      <c r="W2409" s="57"/>
      <c r="X2409" s="57"/>
      <c r="Y2409" s="57"/>
      <c r="Z2409" s="57"/>
      <c r="AA2409" s="57"/>
      <c r="AB2409" s="57"/>
      <c r="AC2409" s="57"/>
      <c r="AD2409" s="57"/>
      <c r="AE2409" s="57"/>
      <c r="AF2409" s="57"/>
    </row>
    <row r="2410" spans="1:32" x14ac:dyDescent="0.2">
      <c r="A2410" s="57"/>
      <c r="B2410" s="57"/>
      <c r="C2410" s="57"/>
      <c r="D2410" s="57"/>
      <c r="E2410" s="57"/>
      <c r="F2410" s="985"/>
      <c r="G2410" s="57"/>
      <c r="H2410" s="57"/>
      <c r="I2410" s="990"/>
      <c r="J2410" s="57"/>
      <c r="K2410" s="57"/>
      <c r="L2410" s="57"/>
      <c r="M2410" s="57"/>
      <c r="N2410" s="57"/>
      <c r="O2410" s="57"/>
      <c r="P2410" s="57"/>
      <c r="Q2410" s="57"/>
      <c r="R2410" s="57"/>
      <c r="S2410" s="57"/>
      <c r="T2410" s="57"/>
      <c r="U2410" s="57"/>
      <c r="V2410" s="57"/>
      <c r="W2410" s="57"/>
      <c r="X2410" s="57"/>
      <c r="Y2410" s="57"/>
      <c r="Z2410" s="57"/>
      <c r="AA2410" s="57"/>
      <c r="AB2410" s="57"/>
      <c r="AC2410" s="57"/>
      <c r="AD2410" s="57"/>
      <c r="AE2410" s="57"/>
      <c r="AF2410" s="57"/>
    </row>
    <row r="2411" spans="1:32" x14ac:dyDescent="0.2">
      <c r="A2411" s="57"/>
      <c r="B2411" s="57"/>
      <c r="C2411" s="57"/>
      <c r="D2411" s="57"/>
      <c r="E2411" s="57"/>
      <c r="F2411" s="985"/>
      <c r="G2411" s="57"/>
      <c r="H2411" s="57"/>
      <c r="I2411" s="990"/>
      <c r="J2411" s="57"/>
      <c r="K2411" s="57"/>
      <c r="L2411" s="57"/>
      <c r="M2411" s="57"/>
      <c r="N2411" s="57"/>
      <c r="O2411" s="57"/>
      <c r="P2411" s="57"/>
      <c r="Q2411" s="57"/>
      <c r="R2411" s="57"/>
      <c r="S2411" s="57"/>
      <c r="T2411" s="57"/>
      <c r="U2411" s="57"/>
      <c r="V2411" s="57"/>
      <c r="W2411" s="57"/>
      <c r="X2411" s="57"/>
      <c r="Y2411" s="57"/>
      <c r="Z2411" s="57"/>
      <c r="AA2411" s="57"/>
      <c r="AB2411" s="57"/>
      <c r="AC2411" s="57"/>
      <c r="AD2411" s="57"/>
      <c r="AE2411" s="57"/>
      <c r="AF2411" s="57"/>
    </row>
    <row r="2412" spans="1:32" x14ac:dyDescent="0.2">
      <c r="A2412" s="57"/>
      <c r="B2412" s="57"/>
      <c r="C2412" s="57"/>
      <c r="D2412" s="57"/>
      <c r="E2412" s="57"/>
      <c r="F2412" s="985"/>
      <c r="G2412" s="57"/>
      <c r="H2412" s="57"/>
      <c r="I2412" s="990"/>
      <c r="J2412" s="57"/>
      <c r="K2412" s="57"/>
      <c r="L2412" s="57"/>
      <c r="M2412" s="57"/>
      <c r="N2412" s="57"/>
      <c r="O2412" s="57"/>
      <c r="P2412" s="57"/>
      <c r="Q2412" s="57"/>
      <c r="R2412" s="57"/>
      <c r="S2412" s="57"/>
      <c r="T2412" s="57"/>
      <c r="U2412" s="57"/>
      <c r="V2412" s="57"/>
      <c r="W2412" s="57"/>
      <c r="X2412" s="57"/>
      <c r="Y2412" s="57"/>
      <c r="Z2412" s="57"/>
      <c r="AA2412" s="57"/>
      <c r="AB2412" s="57"/>
      <c r="AC2412" s="57"/>
      <c r="AD2412" s="57"/>
      <c r="AE2412" s="57"/>
      <c r="AF2412" s="57"/>
    </row>
    <row r="2413" spans="1:32" x14ac:dyDescent="0.2">
      <c r="A2413" s="57"/>
      <c r="B2413" s="57"/>
      <c r="C2413" s="57"/>
      <c r="D2413" s="57"/>
      <c r="E2413" s="57"/>
      <c r="F2413" s="985"/>
      <c r="G2413" s="57"/>
      <c r="H2413" s="57"/>
      <c r="I2413" s="990"/>
      <c r="J2413" s="57"/>
      <c r="K2413" s="57"/>
      <c r="L2413" s="57"/>
      <c r="M2413" s="57"/>
      <c r="N2413" s="57"/>
      <c r="O2413" s="57"/>
      <c r="P2413" s="57"/>
      <c r="Q2413" s="57"/>
      <c r="R2413" s="57"/>
      <c r="S2413" s="57"/>
      <c r="T2413" s="57"/>
      <c r="U2413" s="57"/>
      <c r="V2413" s="57"/>
      <c r="W2413" s="57"/>
      <c r="X2413" s="57"/>
      <c r="Y2413" s="57"/>
      <c r="Z2413" s="57"/>
      <c r="AA2413" s="57"/>
      <c r="AB2413" s="57"/>
      <c r="AC2413" s="57"/>
      <c r="AD2413" s="57"/>
      <c r="AE2413" s="57"/>
      <c r="AF2413" s="57"/>
    </row>
    <row r="2414" spans="1:32" x14ac:dyDescent="0.2">
      <c r="A2414" s="57"/>
      <c r="B2414" s="57"/>
      <c r="C2414" s="57"/>
      <c r="D2414" s="57"/>
      <c r="E2414" s="57"/>
      <c r="F2414" s="985"/>
      <c r="G2414" s="57"/>
      <c r="H2414" s="57"/>
      <c r="I2414" s="990"/>
      <c r="J2414" s="57"/>
      <c r="K2414" s="57"/>
      <c r="L2414" s="57"/>
      <c r="M2414" s="57"/>
      <c r="N2414" s="57"/>
      <c r="O2414" s="57"/>
      <c r="P2414" s="57"/>
      <c r="Q2414" s="57"/>
      <c r="R2414" s="57"/>
      <c r="S2414" s="57"/>
      <c r="T2414" s="57"/>
      <c r="U2414" s="57"/>
      <c r="V2414" s="57"/>
      <c r="W2414" s="57"/>
      <c r="X2414" s="57"/>
      <c r="Y2414" s="57"/>
      <c r="Z2414" s="57"/>
      <c r="AA2414" s="57"/>
      <c r="AB2414" s="57"/>
      <c r="AC2414" s="57"/>
      <c r="AD2414" s="57"/>
      <c r="AE2414" s="57"/>
      <c r="AF2414" s="57"/>
    </row>
    <row r="2415" spans="1:32" x14ac:dyDescent="0.2">
      <c r="A2415" s="57"/>
      <c r="B2415" s="57"/>
      <c r="C2415" s="57"/>
      <c r="D2415" s="57"/>
      <c r="E2415" s="57"/>
      <c r="F2415" s="985"/>
      <c r="G2415" s="57"/>
      <c r="H2415" s="57"/>
      <c r="I2415" s="990"/>
      <c r="J2415" s="57"/>
      <c r="K2415" s="57"/>
      <c r="L2415" s="57"/>
      <c r="M2415" s="57"/>
      <c r="N2415" s="57"/>
      <c r="O2415" s="57"/>
      <c r="P2415" s="57"/>
      <c r="Q2415" s="57"/>
      <c r="R2415" s="57"/>
      <c r="S2415" s="57"/>
      <c r="T2415" s="57"/>
      <c r="U2415" s="57"/>
      <c r="V2415" s="57"/>
      <c r="W2415" s="57"/>
      <c r="X2415" s="57"/>
      <c r="Y2415" s="57"/>
      <c r="Z2415" s="57"/>
      <c r="AA2415" s="57"/>
      <c r="AB2415" s="57"/>
      <c r="AC2415" s="57"/>
      <c r="AD2415" s="57"/>
      <c r="AE2415" s="57"/>
      <c r="AF2415" s="57"/>
    </row>
    <row r="2416" spans="1:32" x14ac:dyDescent="0.2">
      <c r="A2416" s="57"/>
      <c r="B2416" s="57"/>
      <c r="C2416" s="57"/>
      <c r="D2416" s="57"/>
      <c r="E2416" s="57"/>
      <c r="F2416" s="985"/>
      <c r="G2416" s="57"/>
      <c r="H2416" s="57"/>
      <c r="I2416" s="990"/>
      <c r="J2416" s="57"/>
      <c r="K2416" s="57"/>
      <c r="L2416" s="57"/>
      <c r="M2416" s="57"/>
      <c r="N2416" s="57"/>
      <c r="O2416" s="57"/>
      <c r="P2416" s="57"/>
      <c r="Q2416" s="57"/>
      <c r="R2416" s="57"/>
      <c r="S2416" s="57"/>
      <c r="T2416" s="57"/>
      <c r="U2416" s="57"/>
      <c r="V2416" s="57"/>
      <c r="W2416" s="57"/>
      <c r="X2416" s="57"/>
      <c r="Y2416" s="57"/>
      <c r="Z2416" s="57"/>
      <c r="AA2416" s="57"/>
      <c r="AB2416" s="57"/>
      <c r="AC2416" s="57"/>
      <c r="AD2416" s="57"/>
      <c r="AE2416" s="57"/>
      <c r="AF2416" s="57"/>
    </row>
    <row r="2417" spans="1:32" x14ac:dyDescent="0.2">
      <c r="A2417" s="57"/>
      <c r="B2417" s="57"/>
      <c r="C2417" s="57"/>
      <c r="D2417" s="57"/>
      <c r="E2417" s="57"/>
      <c r="F2417" s="985"/>
      <c r="G2417" s="57"/>
      <c r="H2417" s="57"/>
      <c r="I2417" s="990"/>
      <c r="J2417" s="57"/>
      <c r="K2417" s="57"/>
      <c r="L2417" s="57"/>
      <c r="M2417" s="57"/>
      <c r="N2417" s="57"/>
      <c r="O2417" s="57"/>
      <c r="P2417" s="57"/>
      <c r="Q2417" s="57"/>
      <c r="R2417" s="57"/>
      <c r="S2417" s="57"/>
      <c r="T2417" s="57"/>
      <c r="U2417" s="57"/>
      <c r="V2417" s="57"/>
      <c r="W2417" s="57"/>
      <c r="X2417" s="57"/>
      <c r="Y2417" s="57"/>
      <c r="Z2417" s="57"/>
      <c r="AA2417" s="57"/>
      <c r="AB2417" s="57"/>
      <c r="AC2417" s="57"/>
      <c r="AD2417" s="57"/>
      <c r="AE2417" s="57"/>
      <c r="AF2417" s="57"/>
    </row>
    <row r="2418" spans="1:32" x14ac:dyDescent="0.2">
      <c r="A2418" s="57"/>
      <c r="B2418" s="57"/>
      <c r="C2418" s="57"/>
      <c r="D2418" s="57"/>
      <c r="E2418" s="57"/>
      <c r="F2418" s="985"/>
      <c r="G2418" s="57"/>
      <c r="H2418" s="57"/>
      <c r="I2418" s="990"/>
      <c r="J2418" s="57"/>
      <c r="K2418" s="57"/>
      <c r="L2418" s="57"/>
      <c r="M2418" s="57"/>
      <c r="N2418" s="57"/>
      <c r="O2418" s="57"/>
      <c r="P2418" s="57"/>
      <c r="Q2418" s="57"/>
      <c r="R2418" s="57"/>
      <c r="S2418" s="57"/>
      <c r="T2418" s="57"/>
      <c r="U2418" s="57"/>
      <c r="V2418" s="57"/>
      <c r="W2418" s="57"/>
      <c r="X2418" s="57"/>
      <c r="Y2418" s="57"/>
      <c r="Z2418" s="57"/>
      <c r="AA2418" s="57"/>
      <c r="AB2418" s="57"/>
      <c r="AC2418" s="57"/>
      <c r="AD2418" s="57"/>
      <c r="AE2418" s="57"/>
      <c r="AF2418" s="57"/>
    </row>
    <row r="2419" spans="1:32" x14ac:dyDescent="0.2">
      <c r="A2419" s="57"/>
      <c r="B2419" s="57"/>
      <c r="C2419" s="57"/>
      <c r="D2419" s="57"/>
      <c r="E2419" s="57"/>
      <c r="F2419" s="985"/>
      <c r="G2419" s="57"/>
      <c r="H2419" s="57"/>
      <c r="I2419" s="990"/>
      <c r="J2419" s="57"/>
      <c r="K2419" s="57"/>
      <c r="L2419" s="57"/>
      <c r="M2419" s="57"/>
      <c r="N2419" s="57"/>
      <c r="O2419" s="57"/>
      <c r="P2419" s="57"/>
      <c r="Q2419" s="57"/>
      <c r="R2419" s="57"/>
      <c r="S2419" s="57"/>
      <c r="T2419" s="57"/>
      <c r="U2419" s="57"/>
      <c r="V2419" s="57"/>
      <c r="W2419" s="57"/>
      <c r="X2419" s="57"/>
      <c r="Y2419" s="57"/>
      <c r="Z2419" s="57"/>
      <c r="AA2419" s="57"/>
      <c r="AB2419" s="57"/>
      <c r="AC2419" s="57"/>
      <c r="AD2419" s="57"/>
      <c r="AE2419" s="57"/>
      <c r="AF2419" s="57"/>
    </row>
    <row r="2420" spans="1:32" x14ac:dyDescent="0.2">
      <c r="A2420" s="57"/>
      <c r="B2420" s="57"/>
      <c r="C2420" s="57"/>
      <c r="D2420" s="57"/>
      <c r="E2420" s="57"/>
      <c r="F2420" s="985"/>
      <c r="G2420" s="57"/>
      <c r="H2420" s="57"/>
      <c r="I2420" s="990"/>
      <c r="J2420" s="57"/>
      <c r="K2420" s="57"/>
      <c r="L2420" s="57"/>
      <c r="M2420" s="57"/>
      <c r="N2420" s="57"/>
      <c r="O2420" s="57"/>
      <c r="P2420" s="57"/>
      <c r="Q2420" s="57"/>
      <c r="R2420" s="57"/>
      <c r="S2420" s="57"/>
      <c r="T2420" s="57"/>
      <c r="U2420" s="57"/>
      <c r="V2420" s="57"/>
      <c r="W2420" s="57"/>
      <c r="X2420" s="57"/>
      <c r="Y2420" s="57"/>
      <c r="Z2420" s="57"/>
      <c r="AA2420" s="57"/>
      <c r="AB2420" s="57"/>
      <c r="AC2420" s="57"/>
      <c r="AD2420" s="57"/>
      <c r="AE2420" s="57"/>
      <c r="AF2420" s="57"/>
    </row>
    <row r="2421" spans="1:32" x14ac:dyDescent="0.2">
      <c r="A2421" s="57"/>
      <c r="B2421" s="57"/>
      <c r="C2421" s="57"/>
      <c r="D2421" s="57"/>
      <c r="E2421" s="57"/>
      <c r="F2421" s="985"/>
      <c r="G2421" s="57"/>
      <c r="H2421" s="57"/>
      <c r="I2421" s="990"/>
      <c r="J2421" s="57"/>
      <c r="K2421" s="57"/>
      <c r="L2421" s="57"/>
      <c r="M2421" s="57"/>
      <c r="N2421" s="57"/>
      <c r="O2421" s="57"/>
      <c r="P2421" s="57"/>
      <c r="Q2421" s="57"/>
      <c r="R2421" s="57"/>
      <c r="S2421" s="57"/>
      <c r="T2421" s="57"/>
      <c r="U2421" s="57"/>
      <c r="V2421" s="57"/>
      <c r="W2421" s="57"/>
      <c r="X2421" s="57"/>
      <c r="Y2421" s="57"/>
      <c r="Z2421" s="57"/>
      <c r="AA2421" s="57"/>
      <c r="AB2421" s="57"/>
      <c r="AC2421" s="57"/>
      <c r="AD2421" s="57"/>
      <c r="AE2421" s="57"/>
      <c r="AF2421" s="57"/>
    </row>
    <row r="2422" spans="1:32" x14ac:dyDescent="0.2">
      <c r="A2422" s="57"/>
      <c r="B2422" s="57"/>
      <c r="C2422" s="57"/>
      <c r="D2422" s="57"/>
      <c r="E2422" s="57"/>
      <c r="F2422" s="985"/>
      <c r="G2422" s="57"/>
      <c r="H2422" s="57"/>
      <c r="I2422" s="990"/>
      <c r="J2422" s="57"/>
      <c r="K2422" s="57"/>
      <c r="L2422" s="57"/>
      <c r="M2422" s="57"/>
      <c r="N2422" s="57"/>
      <c r="O2422" s="57"/>
      <c r="P2422" s="57"/>
      <c r="Q2422" s="57"/>
      <c r="R2422" s="57"/>
      <c r="S2422" s="57"/>
      <c r="T2422" s="57"/>
      <c r="U2422" s="57"/>
      <c r="V2422" s="57"/>
      <c r="W2422" s="57"/>
      <c r="X2422" s="57"/>
      <c r="Y2422" s="57"/>
      <c r="Z2422" s="57"/>
      <c r="AA2422" s="57"/>
      <c r="AB2422" s="57"/>
      <c r="AC2422" s="57"/>
      <c r="AD2422" s="57"/>
      <c r="AE2422" s="57"/>
      <c r="AF2422" s="57"/>
    </row>
    <row r="2423" spans="1:32" x14ac:dyDescent="0.2">
      <c r="A2423" s="57"/>
      <c r="B2423" s="57"/>
      <c r="C2423" s="57"/>
      <c r="D2423" s="57"/>
      <c r="E2423" s="57"/>
      <c r="F2423" s="985"/>
      <c r="G2423" s="57"/>
      <c r="H2423" s="57"/>
      <c r="I2423" s="990"/>
      <c r="J2423" s="57"/>
      <c r="K2423" s="57"/>
      <c r="L2423" s="57"/>
      <c r="M2423" s="57"/>
      <c r="N2423" s="57"/>
      <c r="O2423" s="57"/>
      <c r="P2423" s="57"/>
      <c r="Q2423" s="57"/>
      <c r="R2423" s="57"/>
      <c r="S2423" s="57"/>
      <c r="T2423" s="57"/>
      <c r="U2423" s="57"/>
      <c r="V2423" s="57"/>
      <c r="W2423" s="57"/>
      <c r="X2423" s="57"/>
      <c r="Y2423" s="57"/>
      <c r="Z2423" s="57"/>
      <c r="AA2423" s="57"/>
      <c r="AB2423" s="57"/>
      <c r="AC2423" s="57"/>
      <c r="AD2423" s="57"/>
      <c r="AE2423" s="57"/>
      <c r="AF2423" s="57"/>
    </row>
    <row r="2424" spans="1:32" x14ac:dyDescent="0.2">
      <c r="A2424" s="57"/>
      <c r="B2424" s="57"/>
      <c r="C2424" s="57"/>
      <c r="D2424" s="57"/>
      <c r="E2424" s="57"/>
      <c r="F2424" s="985"/>
      <c r="G2424" s="57"/>
      <c r="H2424" s="57"/>
      <c r="I2424" s="990"/>
      <c r="J2424" s="57"/>
      <c r="K2424" s="57"/>
      <c r="L2424" s="57"/>
      <c r="M2424" s="57"/>
      <c r="N2424" s="57"/>
      <c r="O2424" s="57"/>
      <c r="P2424" s="57"/>
      <c r="Q2424" s="57"/>
      <c r="R2424" s="57"/>
      <c r="S2424" s="57"/>
      <c r="T2424" s="57"/>
      <c r="U2424" s="57"/>
      <c r="V2424" s="57"/>
      <c r="W2424" s="57"/>
      <c r="X2424" s="57"/>
      <c r="Y2424" s="57"/>
      <c r="Z2424" s="57"/>
      <c r="AA2424" s="57"/>
      <c r="AB2424" s="57"/>
      <c r="AC2424" s="57"/>
      <c r="AD2424" s="57"/>
      <c r="AE2424" s="57"/>
      <c r="AF2424" s="57"/>
    </row>
    <row r="2425" spans="1:32" x14ac:dyDescent="0.2">
      <c r="A2425" s="57"/>
      <c r="B2425" s="57"/>
      <c r="C2425" s="57"/>
      <c r="D2425" s="57"/>
      <c r="E2425" s="57"/>
      <c r="F2425" s="985"/>
      <c r="G2425" s="57"/>
      <c r="H2425" s="57"/>
      <c r="I2425" s="990"/>
      <c r="J2425" s="57"/>
      <c r="K2425" s="57"/>
      <c r="L2425" s="57"/>
      <c r="M2425" s="57"/>
      <c r="N2425" s="57"/>
      <c r="O2425" s="57"/>
      <c r="P2425" s="57"/>
      <c r="Q2425" s="57"/>
      <c r="R2425" s="57"/>
      <c r="S2425" s="57"/>
      <c r="T2425" s="57"/>
      <c r="U2425" s="57"/>
      <c r="V2425" s="57"/>
      <c r="W2425" s="57"/>
      <c r="X2425" s="57"/>
      <c r="Y2425" s="57"/>
      <c r="Z2425" s="57"/>
      <c r="AA2425" s="57"/>
      <c r="AB2425" s="57"/>
      <c r="AC2425" s="57"/>
      <c r="AD2425" s="57"/>
      <c r="AE2425" s="57"/>
      <c r="AF2425" s="57"/>
    </row>
    <row r="2426" spans="1:32" x14ac:dyDescent="0.2">
      <c r="A2426" s="57"/>
      <c r="B2426" s="57"/>
      <c r="C2426" s="57"/>
      <c r="D2426" s="57"/>
      <c r="E2426" s="57"/>
      <c r="F2426" s="985"/>
      <c r="G2426" s="57"/>
      <c r="H2426" s="57"/>
      <c r="I2426" s="990"/>
      <c r="J2426" s="57"/>
      <c r="K2426" s="57"/>
      <c r="L2426" s="57"/>
      <c r="M2426" s="57"/>
      <c r="N2426" s="57"/>
      <c r="O2426" s="57"/>
      <c r="P2426" s="57"/>
      <c r="Q2426" s="57"/>
      <c r="R2426" s="57"/>
      <c r="S2426" s="57"/>
      <c r="T2426" s="57"/>
      <c r="U2426" s="57"/>
      <c r="V2426" s="57"/>
      <c r="W2426" s="57"/>
      <c r="X2426" s="57"/>
      <c r="Y2426" s="57"/>
      <c r="Z2426" s="57"/>
      <c r="AA2426" s="57"/>
      <c r="AB2426" s="57"/>
      <c r="AC2426" s="57"/>
      <c r="AD2426" s="57"/>
      <c r="AE2426" s="57"/>
      <c r="AF2426" s="57"/>
    </row>
    <row r="2427" spans="1:32" x14ac:dyDescent="0.2">
      <c r="A2427" s="57"/>
      <c r="B2427" s="57"/>
      <c r="C2427" s="57"/>
      <c r="D2427" s="57"/>
      <c r="E2427" s="57"/>
      <c r="F2427" s="985"/>
      <c r="G2427" s="57"/>
      <c r="H2427" s="57"/>
      <c r="I2427" s="990"/>
      <c r="J2427" s="57"/>
      <c r="K2427" s="57"/>
      <c r="L2427" s="57"/>
      <c r="M2427" s="57"/>
      <c r="N2427" s="57"/>
      <c r="O2427" s="57"/>
      <c r="P2427" s="57"/>
      <c r="Q2427" s="57"/>
      <c r="R2427" s="57"/>
      <c r="S2427" s="57"/>
      <c r="T2427" s="57"/>
      <c r="U2427" s="57"/>
      <c r="V2427" s="57"/>
      <c r="W2427" s="57"/>
      <c r="X2427" s="57"/>
      <c r="Y2427" s="57"/>
      <c r="Z2427" s="57"/>
      <c r="AA2427" s="57"/>
      <c r="AB2427" s="57"/>
      <c r="AC2427" s="57"/>
      <c r="AD2427" s="57"/>
      <c r="AE2427" s="57"/>
      <c r="AF2427" s="57"/>
    </row>
    <row r="2428" spans="1:32" x14ac:dyDescent="0.2">
      <c r="A2428" s="57"/>
      <c r="B2428" s="57"/>
      <c r="C2428" s="57"/>
      <c r="D2428" s="57"/>
      <c r="E2428" s="57"/>
      <c r="F2428" s="985"/>
      <c r="G2428" s="57"/>
      <c r="H2428" s="57"/>
      <c r="I2428" s="990"/>
      <c r="J2428" s="57"/>
      <c r="K2428" s="57"/>
      <c r="L2428" s="57"/>
      <c r="M2428" s="57"/>
      <c r="N2428" s="57"/>
      <c r="O2428" s="57"/>
      <c r="P2428" s="57"/>
      <c r="Q2428" s="57"/>
      <c r="R2428" s="57"/>
      <c r="S2428" s="57"/>
      <c r="T2428" s="57"/>
      <c r="U2428" s="57"/>
      <c r="V2428" s="57"/>
      <c r="W2428" s="57"/>
      <c r="X2428" s="57"/>
      <c r="Y2428" s="57"/>
      <c r="Z2428" s="57"/>
      <c r="AA2428" s="57"/>
      <c r="AB2428" s="57"/>
      <c r="AC2428" s="57"/>
      <c r="AD2428" s="57"/>
      <c r="AE2428" s="57"/>
      <c r="AF2428" s="57"/>
    </row>
    <row r="2429" spans="1:32" x14ac:dyDescent="0.2">
      <c r="A2429" s="57"/>
      <c r="B2429" s="57"/>
      <c r="C2429" s="57"/>
      <c r="D2429" s="57"/>
      <c r="E2429" s="57"/>
      <c r="F2429" s="985"/>
      <c r="G2429" s="57"/>
      <c r="H2429" s="57"/>
      <c r="I2429" s="990"/>
      <c r="J2429" s="57"/>
      <c r="K2429" s="57"/>
      <c r="L2429" s="57"/>
      <c r="M2429" s="57"/>
      <c r="N2429" s="57"/>
      <c r="O2429" s="57"/>
      <c r="P2429" s="57"/>
      <c r="Q2429" s="57"/>
      <c r="R2429" s="57"/>
      <c r="S2429" s="57"/>
      <c r="T2429" s="57"/>
      <c r="U2429" s="57"/>
      <c r="V2429" s="57"/>
      <c r="W2429" s="57"/>
      <c r="X2429" s="57"/>
      <c r="Y2429" s="57"/>
      <c r="Z2429" s="57"/>
      <c r="AA2429" s="57"/>
      <c r="AB2429" s="57"/>
      <c r="AC2429" s="57"/>
      <c r="AD2429" s="57"/>
      <c r="AE2429" s="57"/>
      <c r="AF2429" s="57"/>
    </row>
    <row r="2430" spans="1:32" x14ac:dyDescent="0.2">
      <c r="A2430" s="57"/>
      <c r="B2430" s="57"/>
      <c r="C2430" s="57"/>
      <c r="D2430" s="57"/>
      <c r="E2430" s="57"/>
      <c r="F2430" s="985"/>
      <c r="G2430" s="57"/>
      <c r="H2430" s="57"/>
      <c r="I2430" s="990"/>
      <c r="J2430" s="57"/>
      <c r="K2430" s="57"/>
      <c r="L2430" s="57"/>
      <c r="M2430" s="57"/>
      <c r="N2430" s="57"/>
      <c r="O2430" s="57"/>
      <c r="P2430" s="57"/>
      <c r="Q2430" s="57"/>
      <c r="R2430" s="57"/>
      <c r="S2430" s="57"/>
      <c r="T2430" s="57"/>
      <c r="U2430" s="57"/>
      <c r="V2430" s="57"/>
      <c r="W2430" s="57"/>
      <c r="X2430" s="57"/>
      <c r="Y2430" s="57"/>
      <c r="Z2430" s="57"/>
      <c r="AA2430" s="57"/>
      <c r="AB2430" s="57"/>
      <c r="AC2430" s="57"/>
      <c r="AD2430" s="57"/>
      <c r="AE2430" s="57"/>
      <c r="AF2430" s="57"/>
    </row>
    <row r="2431" spans="1:32" x14ac:dyDescent="0.2">
      <c r="A2431" s="57"/>
      <c r="B2431" s="57"/>
      <c r="C2431" s="57"/>
      <c r="D2431" s="57"/>
      <c r="E2431" s="57"/>
      <c r="F2431" s="985"/>
      <c r="G2431" s="57"/>
      <c r="H2431" s="57"/>
      <c r="I2431" s="990"/>
      <c r="J2431" s="57"/>
      <c r="K2431" s="57"/>
      <c r="L2431" s="57"/>
      <c r="M2431" s="57"/>
      <c r="N2431" s="57"/>
      <c r="O2431" s="57"/>
      <c r="P2431" s="57"/>
      <c r="Q2431" s="57"/>
      <c r="R2431" s="57"/>
      <c r="S2431" s="57"/>
      <c r="T2431" s="57"/>
      <c r="U2431" s="57"/>
      <c r="V2431" s="57"/>
      <c r="W2431" s="57"/>
      <c r="X2431" s="57"/>
      <c r="Y2431" s="57"/>
      <c r="Z2431" s="57"/>
      <c r="AA2431" s="57"/>
      <c r="AB2431" s="57"/>
      <c r="AC2431" s="57"/>
      <c r="AD2431" s="57"/>
      <c r="AE2431" s="57"/>
      <c r="AF2431" s="57"/>
    </row>
    <row r="2432" spans="1:32" x14ac:dyDescent="0.2">
      <c r="A2432" s="57"/>
      <c r="B2432" s="57"/>
      <c r="C2432" s="57"/>
      <c r="D2432" s="57"/>
      <c r="E2432" s="57"/>
      <c r="F2432" s="985"/>
      <c r="G2432" s="57"/>
      <c r="H2432" s="57"/>
      <c r="I2432" s="990"/>
      <c r="J2432" s="57"/>
      <c r="K2432" s="57"/>
      <c r="L2432" s="57"/>
      <c r="M2432" s="57"/>
      <c r="N2432" s="57"/>
      <c r="O2432" s="57"/>
      <c r="P2432" s="57"/>
      <c r="Q2432" s="57"/>
      <c r="R2432" s="57"/>
      <c r="S2432" s="57"/>
      <c r="T2432" s="57"/>
      <c r="U2432" s="57"/>
      <c r="V2432" s="57"/>
      <c r="W2432" s="57"/>
      <c r="X2432" s="57"/>
      <c r="Y2432" s="57"/>
      <c r="Z2432" s="57"/>
      <c r="AA2432" s="57"/>
      <c r="AB2432" s="57"/>
      <c r="AC2432" s="57"/>
      <c r="AD2432" s="57"/>
      <c r="AE2432" s="57"/>
      <c r="AF2432" s="57"/>
    </row>
    <row r="2433" spans="1:32" x14ac:dyDescent="0.2">
      <c r="A2433" s="57"/>
      <c r="B2433" s="57"/>
      <c r="C2433" s="57"/>
      <c r="D2433" s="57"/>
      <c r="E2433" s="57"/>
      <c r="F2433" s="985"/>
      <c r="G2433" s="57"/>
      <c r="H2433" s="57"/>
      <c r="I2433" s="990"/>
      <c r="J2433" s="57"/>
      <c r="K2433" s="57"/>
      <c r="L2433" s="57"/>
      <c r="M2433" s="57"/>
      <c r="N2433" s="57"/>
      <c r="O2433" s="57"/>
      <c r="P2433" s="57"/>
      <c r="Q2433" s="57"/>
      <c r="R2433" s="57"/>
      <c r="S2433" s="57"/>
      <c r="T2433" s="57"/>
      <c r="U2433" s="57"/>
      <c r="V2433" s="57"/>
      <c r="W2433" s="57"/>
      <c r="X2433" s="57"/>
      <c r="Y2433" s="57"/>
      <c r="Z2433" s="57"/>
      <c r="AA2433" s="57"/>
      <c r="AB2433" s="57"/>
      <c r="AC2433" s="57"/>
      <c r="AD2433" s="57"/>
      <c r="AE2433" s="57"/>
      <c r="AF2433" s="57"/>
    </row>
    <row r="2434" spans="1:32" x14ac:dyDescent="0.2">
      <c r="A2434" s="57"/>
      <c r="B2434" s="57"/>
      <c r="C2434" s="57"/>
      <c r="D2434" s="57"/>
      <c r="E2434" s="57"/>
      <c r="F2434" s="985"/>
      <c r="G2434" s="57"/>
      <c r="H2434" s="57"/>
      <c r="I2434" s="990"/>
      <c r="J2434" s="57"/>
      <c r="K2434" s="57"/>
      <c r="L2434" s="57"/>
      <c r="M2434" s="57"/>
      <c r="N2434" s="57"/>
      <c r="O2434" s="57"/>
      <c r="P2434" s="57"/>
      <c r="Q2434" s="57"/>
      <c r="R2434" s="57"/>
      <c r="S2434" s="57"/>
      <c r="T2434" s="57"/>
      <c r="U2434" s="57"/>
      <c r="V2434" s="57"/>
      <c r="W2434" s="57"/>
      <c r="X2434" s="57"/>
      <c r="Y2434" s="57"/>
      <c r="Z2434" s="57"/>
      <c r="AA2434" s="57"/>
      <c r="AB2434" s="57"/>
      <c r="AC2434" s="57"/>
      <c r="AD2434" s="57"/>
      <c r="AE2434" s="57"/>
      <c r="AF2434" s="57"/>
    </row>
    <row r="2435" spans="1:32" x14ac:dyDescent="0.2">
      <c r="A2435" s="57"/>
      <c r="B2435" s="57"/>
      <c r="C2435" s="57"/>
      <c r="D2435" s="57"/>
      <c r="E2435" s="57"/>
      <c r="F2435" s="985"/>
      <c r="G2435" s="57"/>
      <c r="H2435" s="57"/>
      <c r="I2435" s="990"/>
      <c r="J2435" s="57"/>
      <c r="K2435" s="57"/>
      <c r="L2435" s="57"/>
      <c r="M2435" s="57"/>
      <c r="N2435" s="57"/>
      <c r="O2435" s="57"/>
      <c r="P2435" s="57"/>
      <c r="Q2435" s="57"/>
      <c r="R2435" s="57"/>
      <c r="S2435" s="57"/>
      <c r="T2435" s="57"/>
      <c r="U2435" s="57"/>
      <c r="V2435" s="57"/>
      <c r="W2435" s="57"/>
      <c r="X2435" s="57"/>
      <c r="Y2435" s="57"/>
      <c r="Z2435" s="57"/>
      <c r="AA2435" s="57"/>
      <c r="AB2435" s="57"/>
      <c r="AC2435" s="57"/>
      <c r="AD2435" s="57"/>
      <c r="AE2435" s="57"/>
      <c r="AF2435" s="57"/>
    </row>
    <row r="2436" spans="1:32" x14ac:dyDescent="0.2">
      <c r="A2436" s="57"/>
      <c r="B2436" s="57"/>
      <c r="C2436" s="57"/>
      <c r="D2436" s="57"/>
      <c r="E2436" s="57"/>
      <c r="F2436" s="985"/>
      <c r="G2436" s="57"/>
      <c r="H2436" s="57"/>
      <c r="I2436" s="990"/>
      <c r="J2436" s="57"/>
      <c r="K2436" s="57"/>
      <c r="L2436" s="57"/>
      <c r="M2436" s="57"/>
      <c r="N2436" s="57"/>
      <c r="O2436" s="57"/>
      <c r="P2436" s="57"/>
      <c r="Q2436" s="57"/>
      <c r="R2436" s="57"/>
      <c r="S2436" s="57"/>
      <c r="T2436" s="57"/>
      <c r="U2436" s="57"/>
      <c r="V2436" s="57"/>
      <c r="W2436" s="57"/>
      <c r="X2436" s="57"/>
      <c r="Y2436" s="57"/>
      <c r="Z2436" s="57"/>
      <c r="AA2436" s="57"/>
      <c r="AB2436" s="57"/>
      <c r="AC2436" s="57"/>
      <c r="AD2436" s="57"/>
      <c r="AE2436" s="57"/>
      <c r="AF2436" s="57"/>
    </row>
    <row r="2437" spans="1:32" x14ac:dyDescent="0.2">
      <c r="A2437" s="57"/>
      <c r="B2437" s="57"/>
      <c r="C2437" s="57"/>
      <c r="D2437" s="57"/>
      <c r="E2437" s="57"/>
      <c r="F2437" s="985"/>
      <c r="G2437" s="57"/>
      <c r="H2437" s="57"/>
      <c r="I2437" s="990"/>
      <c r="J2437" s="57"/>
      <c r="K2437" s="57"/>
      <c r="L2437" s="57"/>
      <c r="M2437" s="57"/>
      <c r="N2437" s="57"/>
      <c r="O2437" s="57"/>
      <c r="P2437" s="57"/>
      <c r="Q2437" s="57"/>
      <c r="R2437" s="57"/>
      <c r="S2437" s="57"/>
      <c r="T2437" s="57"/>
      <c r="U2437" s="57"/>
      <c r="V2437" s="57"/>
      <c r="W2437" s="57"/>
      <c r="X2437" s="57"/>
      <c r="Y2437" s="57"/>
      <c r="Z2437" s="57"/>
      <c r="AA2437" s="57"/>
      <c r="AB2437" s="57"/>
      <c r="AC2437" s="57"/>
      <c r="AD2437" s="57"/>
      <c r="AE2437" s="57"/>
      <c r="AF2437" s="57"/>
    </row>
    <row r="2438" spans="1:32" x14ac:dyDescent="0.2">
      <c r="A2438" s="57"/>
      <c r="B2438" s="57"/>
      <c r="C2438" s="57"/>
      <c r="D2438" s="57"/>
      <c r="E2438" s="57"/>
      <c r="F2438" s="985"/>
      <c r="G2438" s="57"/>
      <c r="H2438" s="57"/>
      <c r="I2438" s="990"/>
      <c r="J2438" s="57"/>
      <c r="K2438" s="57"/>
      <c r="L2438" s="57"/>
      <c r="M2438" s="57"/>
      <c r="N2438" s="57"/>
      <c r="O2438" s="57"/>
      <c r="P2438" s="57"/>
      <c r="Q2438" s="57"/>
      <c r="R2438" s="57"/>
      <c r="S2438" s="57"/>
      <c r="T2438" s="57"/>
      <c r="U2438" s="57"/>
      <c r="V2438" s="57"/>
      <c r="W2438" s="57"/>
      <c r="X2438" s="57"/>
      <c r="Y2438" s="57"/>
      <c r="Z2438" s="57"/>
      <c r="AA2438" s="57"/>
      <c r="AB2438" s="57"/>
      <c r="AC2438" s="57"/>
      <c r="AD2438" s="57"/>
      <c r="AE2438" s="57"/>
      <c r="AF2438" s="57"/>
    </row>
    <row r="2439" spans="1:32" x14ac:dyDescent="0.2">
      <c r="A2439" s="57"/>
      <c r="B2439" s="57"/>
      <c r="C2439" s="57"/>
      <c r="D2439" s="57"/>
      <c r="E2439" s="57"/>
      <c r="F2439" s="985"/>
      <c r="G2439" s="57"/>
      <c r="H2439" s="57"/>
      <c r="I2439" s="990"/>
      <c r="J2439" s="57"/>
      <c r="K2439" s="57"/>
      <c r="L2439" s="57"/>
      <c r="M2439" s="57"/>
      <c r="N2439" s="57"/>
      <c r="O2439" s="57"/>
      <c r="P2439" s="57"/>
      <c r="Q2439" s="57"/>
      <c r="R2439" s="57"/>
      <c r="S2439" s="57"/>
      <c r="T2439" s="57"/>
      <c r="U2439" s="57"/>
      <c r="V2439" s="57"/>
      <c r="W2439" s="57"/>
      <c r="X2439" s="57"/>
      <c r="Y2439" s="57"/>
      <c r="Z2439" s="57"/>
      <c r="AA2439" s="57"/>
      <c r="AB2439" s="57"/>
      <c r="AC2439" s="57"/>
      <c r="AD2439" s="57"/>
      <c r="AE2439" s="57"/>
      <c r="AF2439" s="57"/>
    </row>
    <row r="2440" spans="1:32" x14ac:dyDescent="0.2">
      <c r="A2440" s="57"/>
      <c r="B2440" s="57"/>
      <c r="C2440" s="57"/>
      <c r="D2440" s="57"/>
      <c r="E2440" s="57"/>
      <c r="F2440" s="985"/>
      <c r="G2440" s="57"/>
      <c r="H2440" s="57"/>
      <c r="I2440" s="990"/>
      <c r="J2440" s="57"/>
      <c r="K2440" s="57"/>
      <c r="L2440" s="57"/>
      <c r="M2440" s="57"/>
      <c r="N2440" s="57"/>
      <c r="O2440" s="57"/>
      <c r="P2440" s="57"/>
      <c r="Q2440" s="57"/>
      <c r="R2440" s="57"/>
      <c r="S2440" s="57"/>
      <c r="T2440" s="57"/>
      <c r="U2440" s="57"/>
      <c r="V2440" s="57"/>
      <c r="W2440" s="57"/>
      <c r="X2440" s="57"/>
      <c r="Y2440" s="57"/>
      <c r="Z2440" s="57"/>
      <c r="AA2440" s="57"/>
      <c r="AB2440" s="57"/>
      <c r="AC2440" s="57"/>
      <c r="AD2440" s="57"/>
      <c r="AE2440" s="57"/>
      <c r="AF2440" s="57"/>
    </row>
    <row r="2441" spans="1:32" x14ac:dyDescent="0.2">
      <c r="A2441" s="57"/>
      <c r="B2441" s="57"/>
      <c r="C2441" s="57"/>
      <c r="D2441" s="57"/>
      <c r="E2441" s="57"/>
      <c r="F2441" s="985"/>
      <c r="G2441" s="57"/>
      <c r="H2441" s="57"/>
      <c r="I2441" s="990"/>
      <c r="J2441" s="57"/>
      <c r="K2441" s="57"/>
      <c r="L2441" s="57"/>
      <c r="M2441" s="57"/>
      <c r="N2441" s="57"/>
      <c r="O2441" s="57"/>
      <c r="P2441" s="57"/>
      <c r="Q2441" s="57"/>
      <c r="R2441" s="57"/>
      <c r="S2441" s="57"/>
      <c r="T2441" s="57"/>
      <c r="U2441" s="57"/>
      <c r="V2441" s="57"/>
      <c r="W2441" s="57"/>
      <c r="X2441" s="57"/>
      <c r="Y2441" s="57"/>
      <c r="Z2441" s="57"/>
      <c r="AA2441" s="57"/>
      <c r="AB2441" s="57"/>
      <c r="AC2441" s="57"/>
      <c r="AD2441" s="57"/>
      <c r="AE2441" s="57"/>
      <c r="AF2441" s="57"/>
    </row>
    <row r="2442" spans="1:32" x14ac:dyDescent="0.2">
      <c r="A2442" s="57"/>
      <c r="B2442" s="57"/>
      <c r="C2442" s="57"/>
      <c r="D2442" s="57"/>
      <c r="E2442" s="57"/>
      <c r="F2442" s="985"/>
      <c r="G2442" s="57"/>
      <c r="H2442" s="57"/>
      <c r="I2442" s="990"/>
      <c r="J2442" s="57"/>
      <c r="K2442" s="57"/>
      <c r="L2442" s="57"/>
      <c r="M2442" s="57"/>
      <c r="N2442" s="57"/>
      <c r="O2442" s="57"/>
      <c r="P2442" s="57"/>
      <c r="Q2442" s="57"/>
      <c r="R2442" s="57"/>
      <c r="S2442" s="57"/>
      <c r="T2442" s="57"/>
      <c r="U2442" s="57"/>
      <c r="V2442" s="57"/>
      <c r="W2442" s="57"/>
      <c r="X2442" s="57"/>
      <c r="Y2442" s="57"/>
      <c r="Z2442" s="57"/>
      <c r="AA2442" s="57"/>
      <c r="AB2442" s="57"/>
      <c r="AC2442" s="57"/>
      <c r="AD2442" s="57"/>
      <c r="AE2442" s="57"/>
      <c r="AF2442" s="57"/>
    </row>
    <row r="2443" spans="1:32" x14ac:dyDescent="0.2">
      <c r="A2443" s="57"/>
      <c r="B2443" s="57"/>
      <c r="C2443" s="57"/>
      <c r="D2443" s="57"/>
      <c r="E2443" s="57"/>
      <c r="F2443" s="985"/>
      <c r="G2443" s="57"/>
      <c r="H2443" s="57"/>
      <c r="I2443" s="990"/>
      <c r="J2443" s="57"/>
      <c r="K2443" s="57"/>
      <c r="L2443" s="57"/>
      <c r="M2443" s="57"/>
      <c r="N2443" s="57"/>
      <c r="O2443" s="57"/>
      <c r="P2443" s="57"/>
      <c r="Q2443" s="57"/>
      <c r="R2443" s="57"/>
      <c r="S2443" s="57"/>
      <c r="T2443" s="57"/>
      <c r="U2443" s="57"/>
      <c r="V2443" s="57"/>
      <c r="W2443" s="57"/>
      <c r="X2443" s="57"/>
      <c r="Y2443" s="57"/>
      <c r="Z2443" s="57"/>
      <c r="AA2443" s="57"/>
      <c r="AB2443" s="57"/>
      <c r="AC2443" s="57"/>
      <c r="AD2443" s="57"/>
      <c r="AE2443" s="57"/>
      <c r="AF2443" s="57"/>
    </row>
    <row r="2444" spans="1:32" x14ac:dyDescent="0.2">
      <c r="A2444" s="57"/>
      <c r="B2444" s="57"/>
      <c r="C2444" s="57"/>
      <c r="D2444" s="57"/>
      <c r="E2444" s="57"/>
      <c r="F2444" s="985"/>
      <c r="G2444" s="57"/>
      <c r="H2444" s="57"/>
      <c r="I2444" s="990"/>
      <c r="J2444" s="57"/>
      <c r="K2444" s="57"/>
      <c r="L2444" s="57"/>
      <c r="M2444" s="57"/>
      <c r="N2444" s="57"/>
      <c r="O2444" s="57"/>
      <c r="P2444" s="57"/>
      <c r="Q2444" s="57"/>
      <c r="R2444" s="57"/>
      <c r="S2444" s="57"/>
      <c r="T2444" s="57"/>
      <c r="U2444" s="57"/>
      <c r="V2444" s="57"/>
      <c r="W2444" s="57"/>
      <c r="X2444" s="57"/>
      <c r="Y2444" s="57"/>
      <c r="Z2444" s="57"/>
      <c r="AA2444" s="57"/>
      <c r="AB2444" s="57"/>
      <c r="AC2444" s="57"/>
      <c r="AD2444" s="57"/>
      <c r="AE2444" s="57"/>
      <c r="AF2444" s="57"/>
    </row>
    <row r="2445" spans="1:32" x14ac:dyDescent="0.2">
      <c r="A2445" s="57"/>
      <c r="B2445" s="57"/>
      <c r="C2445" s="57"/>
      <c r="D2445" s="57"/>
      <c r="E2445" s="57"/>
      <c r="F2445" s="985"/>
      <c r="G2445" s="57"/>
      <c r="H2445" s="57"/>
      <c r="I2445" s="990"/>
      <c r="J2445" s="57"/>
      <c r="K2445" s="57"/>
      <c r="L2445" s="57"/>
      <c r="M2445" s="57"/>
      <c r="N2445" s="57"/>
      <c r="O2445" s="57"/>
      <c r="P2445" s="57"/>
      <c r="Q2445" s="57"/>
      <c r="R2445" s="57"/>
      <c r="S2445" s="57"/>
      <c r="T2445" s="57"/>
      <c r="U2445" s="57"/>
      <c r="V2445" s="57"/>
      <c r="W2445" s="57"/>
      <c r="X2445" s="57"/>
      <c r="Y2445" s="57"/>
      <c r="Z2445" s="57"/>
      <c r="AA2445" s="57"/>
      <c r="AB2445" s="57"/>
      <c r="AC2445" s="57"/>
      <c r="AD2445" s="57"/>
      <c r="AE2445" s="57"/>
      <c r="AF2445" s="57"/>
    </row>
    <row r="2446" spans="1:32" x14ac:dyDescent="0.2">
      <c r="A2446" s="57"/>
      <c r="B2446" s="57"/>
      <c r="C2446" s="57"/>
      <c r="D2446" s="57"/>
      <c r="E2446" s="57"/>
      <c r="F2446" s="985"/>
      <c r="G2446" s="57"/>
      <c r="H2446" s="57"/>
      <c r="I2446" s="990"/>
      <c r="J2446" s="57"/>
      <c r="K2446" s="57"/>
      <c r="L2446" s="57"/>
      <c r="M2446" s="57"/>
      <c r="N2446" s="57"/>
      <c r="O2446" s="57"/>
      <c r="P2446" s="57"/>
      <c r="Q2446" s="57"/>
      <c r="R2446" s="57"/>
      <c r="S2446" s="57"/>
      <c r="T2446" s="57"/>
      <c r="U2446" s="57"/>
      <c r="V2446" s="57"/>
      <c r="W2446" s="57"/>
      <c r="X2446" s="57"/>
      <c r="Y2446" s="57"/>
      <c r="Z2446" s="57"/>
      <c r="AA2446" s="57"/>
      <c r="AB2446" s="57"/>
      <c r="AC2446" s="57"/>
      <c r="AD2446" s="57"/>
      <c r="AE2446" s="57"/>
      <c r="AF2446" s="57"/>
    </row>
    <row r="2447" spans="1:32" x14ac:dyDescent="0.2">
      <c r="A2447" s="57"/>
      <c r="B2447" s="57"/>
      <c r="C2447" s="57"/>
      <c r="D2447" s="57"/>
      <c r="E2447" s="57"/>
      <c r="F2447" s="985"/>
      <c r="G2447" s="57"/>
      <c r="H2447" s="57"/>
      <c r="I2447" s="990"/>
      <c r="J2447" s="57"/>
      <c r="K2447" s="57"/>
      <c r="L2447" s="57"/>
      <c r="M2447" s="57"/>
      <c r="N2447" s="57"/>
      <c r="O2447" s="57"/>
      <c r="P2447" s="57"/>
      <c r="Q2447" s="57"/>
      <c r="R2447" s="57"/>
      <c r="S2447" s="57"/>
      <c r="T2447" s="57"/>
      <c r="U2447" s="57"/>
      <c r="V2447" s="57"/>
      <c r="W2447" s="57"/>
      <c r="X2447" s="57"/>
      <c r="Y2447" s="57"/>
      <c r="Z2447" s="57"/>
      <c r="AA2447" s="57"/>
      <c r="AB2447" s="57"/>
      <c r="AC2447" s="57"/>
      <c r="AD2447" s="57"/>
      <c r="AE2447" s="57"/>
      <c r="AF2447" s="57"/>
    </row>
    <row r="2448" spans="1:32" x14ac:dyDescent="0.2">
      <c r="A2448" s="57"/>
      <c r="B2448" s="57"/>
      <c r="C2448" s="57"/>
      <c r="D2448" s="57"/>
      <c r="E2448" s="57"/>
      <c r="F2448" s="985"/>
      <c r="G2448" s="57"/>
      <c r="H2448" s="57"/>
      <c r="I2448" s="990"/>
      <c r="J2448" s="57"/>
      <c r="K2448" s="57"/>
      <c r="L2448" s="57"/>
      <c r="M2448" s="57"/>
      <c r="N2448" s="57"/>
      <c r="O2448" s="57"/>
      <c r="P2448" s="57"/>
      <c r="Q2448" s="57"/>
      <c r="R2448" s="57"/>
      <c r="S2448" s="57"/>
      <c r="T2448" s="57"/>
      <c r="U2448" s="57"/>
      <c r="V2448" s="57"/>
      <c r="W2448" s="57"/>
      <c r="X2448" s="57"/>
      <c r="Y2448" s="57"/>
      <c r="Z2448" s="57"/>
      <c r="AA2448" s="57"/>
      <c r="AB2448" s="57"/>
      <c r="AC2448" s="57"/>
      <c r="AD2448" s="57"/>
      <c r="AE2448" s="57"/>
      <c r="AF2448" s="57"/>
    </row>
    <row r="2449" spans="1:32" x14ac:dyDescent="0.2">
      <c r="A2449" s="57"/>
      <c r="B2449" s="57"/>
      <c r="C2449" s="57"/>
      <c r="D2449" s="57"/>
      <c r="E2449" s="57"/>
      <c r="F2449" s="985"/>
      <c r="G2449" s="57"/>
      <c r="H2449" s="57"/>
      <c r="I2449" s="990"/>
      <c r="J2449" s="57"/>
      <c r="K2449" s="57"/>
      <c r="L2449" s="57"/>
      <c r="M2449" s="57"/>
      <c r="N2449" s="57"/>
      <c r="O2449" s="57"/>
      <c r="P2449" s="57"/>
      <c r="Q2449" s="57"/>
      <c r="R2449" s="57"/>
      <c r="S2449" s="57"/>
      <c r="T2449" s="57"/>
      <c r="U2449" s="57"/>
      <c r="V2449" s="57"/>
      <c r="W2449" s="57"/>
      <c r="X2449" s="57"/>
      <c r="Y2449" s="57"/>
      <c r="Z2449" s="57"/>
      <c r="AA2449" s="57"/>
      <c r="AB2449" s="57"/>
      <c r="AC2449" s="57"/>
      <c r="AD2449" s="57"/>
      <c r="AE2449" s="57"/>
      <c r="AF2449" s="57"/>
    </row>
    <row r="2450" spans="1:32" x14ac:dyDescent="0.2">
      <c r="A2450" s="57"/>
      <c r="B2450" s="57"/>
      <c r="C2450" s="57"/>
      <c r="D2450" s="57"/>
      <c r="E2450" s="57"/>
      <c r="F2450" s="985"/>
      <c r="G2450" s="57"/>
      <c r="H2450" s="57"/>
      <c r="I2450" s="990"/>
      <c r="J2450" s="57"/>
      <c r="K2450" s="57"/>
      <c r="L2450" s="57"/>
      <c r="M2450" s="57"/>
      <c r="N2450" s="57"/>
      <c r="O2450" s="57"/>
      <c r="P2450" s="57"/>
      <c r="Q2450" s="57"/>
      <c r="R2450" s="57"/>
      <c r="S2450" s="57"/>
      <c r="T2450" s="57"/>
      <c r="U2450" s="57"/>
      <c r="V2450" s="57"/>
      <c r="W2450" s="57"/>
      <c r="X2450" s="57"/>
      <c r="Y2450" s="57"/>
      <c r="Z2450" s="57"/>
      <c r="AA2450" s="57"/>
      <c r="AB2450" s="57"/>
      <c r="AC2450" s="57"/>
      <c r="AD2450" s="57"/>
      <c r="AE2450" s="57"/>
      <c r="AF2450" s="57"/>
    </row>
    <row r="2451" spans="1:32" x14ac:dyDescent="0.2">
      <c r="A2451" s="57"/>
      <c r="B2451" s="57"/>
      <c r="C2451" s="57"/>
      <c r="D2451" s="57"/>
      <c r="E2451" s="57"/>
      <c r="F2451" s="985"/>
      <c r="G2451" s="57"/>
      <c r="H2451" s="57"/>
      <c r="I2451" s="990"/>
      <c r="J2451" s="57"/>
      <c r="K2451" s="57"/>
      <c r="L2451" s="57"/>
      <c r="M2451" s="57"/>
      <c r="N2451" s="57"/>
      <c r="O2451" s="57"/>
      <c r="P2451" s="57"/>
      <c r="Q2451" s="57"/>
      <c r="R2451" s="57"/>
      <c r="S2451" s="57"/>
      <c r="T2451" s="57"/>
      <c r="U2451" s="57"/>
      <c r="V2451" s="57"/>
      <c r="W2451" s="57"/>
      <c r="X2451" s="57"/>
      <c r="Y2451" s="57"/>
      <c r="Z2451" s="57"/>
      <c r="AA2451" s="57"/>
      <c r="AB2451" s="57"/>
      <c r="AC2451" s="57"/>
      <c r="AD2451" s="57"/>
      <c r="AE2451" s="57"/>
      <c r="AF2451" s="57"/>
    </row>
    <row r="2452" spans="1:32" x14ac:dyDescent="0.2">
      <c r="A2452" s="57"/>
      <c r="B2452" s="57"/>
      <c r="C2452" s="57"/>
      <c r="D2452" s="57"/>
      <c r="E2452" s="57"/>
      <c r="F2452" s="985"/>
      <c r="G2452" s="57"/>
      <c r="H2452" s="57"/>
      <c r="I2452" s="990"/>
      <c r="J2452" s="57"/>
      <c r="K2452" s="57"/>
      <c r="L2452" s="57"/>
      <c r="M2452" s="57"/>
      <c r="N2452" s="57"/>
      <c r="O2452" s="57"/>
      <c r="P2452" s="57"/>
      <c r="Q2452" s="57"/>
      <c r="R2452" s="57"/>
      <c r="S2452" s="57"/>
      <c r="T2452" s="57"/>
      <c r="U2452" s="57"/>
      <c r="V2452" s="57"/>
      <c r="W2452" s="57"/>
      <c r="X2452" s="57"/>
      <c r="Y2452" s="57"/>
      <c r="Z2452" s="57"/>
      <c r="AA2452" s="57"/>
      <c r="AB2452" s="57"/>
      <c r="AC2452" s="57"/>
      <c r="AD2452" s="57"/>
      <c r="AE2452" s="57"/>
      <c r="AF2452" s="57"/>
    </row>
    <row r="2453" spans="1:32" x14ac:dyDescent="0.2">
      <c r="A2453" s="57"/>
      <c r="B2453" s="57"/>
      <c r="C2453" s="57"/>
      <c r="D2453" s="57"/>
      <c r="E2453" s="57"/>
      <c r="F2453" s="985"/>
      <c r="G2453" s="57"/>
      <c r="H2453" s="57"/>
      <c r="I2453" s="990"/>
      <c r="J2453" s="57"/>
      <c r="K2453" s="57"/>
      <c r="L2453" s="57"/>
      <c r="M2453" s="57"/>
      <c r="N2453" s="57"/>
      <c r="O2453" s="57"/>
      <c r="P2453" s="57"/>
      <c r="Q2453" s="57"/>
      <c r="R2453" s="57"/>
      <c r="S2453" s="57"/>
      <c r="T2453" s="57"/>
      <c r="U2453" s="57"/>
      <c r="V2453" s="57"/>
      <c r="W2453" s="57"/>
      <c r="X2453" s="57"/>
      <c r="Y2453" s="57"/>
      <c r="Z2453" s="57"/>
      <c r="AA2453" s="57"/>
      <c r="AB2453" s="57"/>
      <c r="AC2453" s="57"/>
      <c r="AD2453" s="57"/>
      <c r="AE2453" s="57"/>
      <c r="AF2453" s="57"/>
    </row>
    <row r="2454" spans="1:32" x14ac:dyDescent="0.2">
      <c r="A2454" s="57"/>
      <c r="B2454" s="57"/>
      <c r="C2454" s="57"/>
      <c r="D2454" s="57"/>
      <c r="E2454" s="57"/>
      <c r="F2454" s="985"/>
      <c r="G2454" s="57"/>
      <c r="H2454" s="57"/>
      <c r="I2454" s="990"/>
      <c r="J2454" s="57"/>
      <c r="K2454" s="57"/>
      <c r="L2454" s="57"/>
      <c r="M2454" s="57"/>
      <c r="N2454" s="57"/>
      <c r="O2454" s="57"/>
      <c r="P2454" s="57"/>
      <c r="Q2454" s="57"/>
      <c r="R2454" s="57"/>
      <c r="S2454" s="57"/>
      <c r="T2454" s="57"/>
      <c r="U2454" s="57"/>
      <c r="V2454" s="57"/>
      <c r="W2454" s="57"/>
      <c r="X2454" s="57"/>
      <c r="Y2454" s="57"/>
      <c r="Z2454" s="57"/>
      <c r="AA2454" s="57"/>
      <c r="AB2454" s="57"/>
      <c r="AC2454" s="57"/>
      <c r="AD2454" s="57"/>
      <c r="AE2454" s="57"/>
      <c r="AF2454" s="57"/>
    </row>
    <row r="2455" spans="1:32" x14ac:dyDescent="0.2">
      <c r="A2455" s="57"/>
      <c r="B2455" s="57"/>
      <c r="C2455" s="57"/>
      <c r="D2455" s="57"/>
      <c r="E2455" s="57"/>
      <c r="F2455" s="985"/>
      <c r="G2455" s="57"/>
      <c r="H2455" s="57"/>
      <c r="I2455" s="990"/>
      <c r="J2455" s="57"/>
      <c r="K2455" s="57"/>
      <c r="L2455" s="57"/>
      <c r="M2455" s="57"/>
      <c r="N2455" s="57"/>
      <c r="O2455" s="57"/>
      <c r="P2455" s="57"/>
      <c r="Q2455" s="57"/>
      <c r="R2455" s="57"/>
      <c r="S2455" s="57"/>
      <c r="T2455" s="57"/>
      <c r="U2455" s="57"/>
      <c r="V2455" s="57"/>
      <c r="W2455" s="57"/>
      <c r="X2455" s="57"/>
      <c r="Y2455" s="57"/>
      <c r="Z2455" s="57"/>
      <c r="AA2455" s="57"/>
      <c r="AB2455" s="57"/>
      <c r="AC2455" s="57"/>
      <c r="AD2455" s="57"/>
      <c r="AE2455" s="57"/>
      <c r="AF2455" s="57"/>
    </row>
    <row r="2456" spans="1:32" x14ac:dyDescent="0.2">
      <c r="A2456" s="57"/>
      <c r="B2456" s="57"/>
      <c r="C2456" s="57"/>
      <c r="D2456" s="57"/>
      <c r="E2456" s="57"/>
      <c r="F2456" s="985"/>
      <c r="G2456" s="57"/>
      <c r="H2456" s="57"/>
      <c r="I2456" s="990"/>
      <c r="J2456" s="57"/>
      <c r="K2456" s="57"/>
      <c r="L2456" s="57"/>
      <c r="M2456" s="57"/>
      <c r="N2456" s="57"/>
      <c r="O2456" s="57"/>
      <c r="P2456" s="57"/>
      <c r="Q2456" s="57"/>
      <c r="R2456" s="57"/>
      <c r="S2456" s="57"/>
      <c r="T2456" s="57"/>
      <c r="U2456" s="57"/>
      <c r="V2456" s="57"/>
      <c r="W2456" s="57"/>
      <c r="X2456" s="57"/>
      <c r="Y2456" s="57"/>
      <c r="Z2456" s="57"/>
      <c r="AA2456" s="57"/>
      <c r="AB2456" s="57"/>
      <c r="AC2456" s="57"/>
      <c r="AD2456" s="57"/>
      <c r="AE2456" s="57"/>
      <c r="AF2456" s="57"/>
    </row>
    <row r="2457" spans="1:32" x14ac:dyDescent="0.2">
      <c r="A2457" s="57"/>
      <c r="B2457" s="57"/>
      <c r="C2457" s="57"/>
      <c r="D2457" s="57"/>
      <c r="E2457" s="57"/>
      <c r="F2457" s="985"/>
      <c r="G2457" s="57"/>
      <c r="H2457" s="57"/>
      <c r="I2457" s="990"/>
      <c r="J2457" s="57"/>
      <c r="K2457" s="57"/>
      <c r="L2457" s="57"/>
      <c r="M2457" s="57"/>
      <c r="N2457" s="57"/>
      <c r="O2457" s="57"/>
      <c r="P2457" s="57"/>
      <c r="Q2457" s="57"/>
      <c r="R2457" s="57"/>
      <c r="S2457" s="57"/>
      <c r="T2457" s="57"/>
      <c r="U2457" s="57"/>
      <c r="V2457" s="57"/>
      <c r="W2457" s="57"/>
      <c r="X2457" s="57"/>
      <c r="Y2457" s="57"/>
      <c r="Z2457" s="57"/>
      <c r="AA2457" s="57"/>
      <c r="AB2457" s="57"/>
      <c r="AC2457" s="57"/>
      <c r="AD2457" s="57"/>
      <c r="AE2457" s="57"/>
      <c r="AF2457" s="57"/>
    </row>
    <row r="2458" spans="1:32" x14ac:dyDescent="0.2">
      <c r="A2458" s="57"/>
      <c r="B2458" s="57"/>
      <c r="C2458" s="57"/>
      <c r="D2458" s="57"/>
      <c r="E2458" s="57"/>
      <c r="F2458" s="985"/>
      <c r="G2458" s="57"/>
      <c r="H2458" s="57"/>
      <c r="I2458" s="990"/>
      <c r="J2458" s="57"/>
      <c r="K2458" s="57"/>
      <c r="L2458" s="57"/>
      <c r="M2458" s="57"/>
      <c r="N2458" s="57"/>
      <c r="O2458" s="57"/>
      <c r="P2458" s="57"/>
      <c r="Q2458" s="57"/>
      <c r="R2458" s="57"/>
      <c r="S2458" s="57"/>
      <c r="T2458" s="57"/>
      <c r="U2458" s="57"/>
      <c r="V2458" s="57"/>
      <c r="W2458" s="57"/>
      <c r="X2458" s="57"/>
      <c r="Y2458" s="57"/>
      <c r="Z2458" s="57"/>
      <c r="AA2458" s="57"/>
      <c r="AB2458" s="57"/>
      <c r="AC2458" s="57"/>
      <c r="AD2458" s="57"/>
      <c r="AE2458" s="57"/>
      <c r="AF2458" s="57"/>
    </row>
    <row r="2459" spans="1:32" x14ac:dyDescent="0.2">
      <c r="A2459" s="57"/>
      <c r="B2459" s="57"/>
      <c r="C2459" s="57"/>
      <c r="D2459" s="57"/>
      <c r="E2459" s="57"/>
      <c r="F2459" s="985"/>
      <c r="G2459" s="57"/>
      <c r="H2459" s="57"/>
      <c r="I2459" s="990"/>
      <c r="J2459" s="57"/>
      <c r="K2459" s="57"/>
      <c r="L2459" s="57"/>
      <c r="M2459" s="57"/>
      <c r="N2459" s="57"/>
      <c r="O2459" s="57"/>
      <c r="P2459" s="57"/>
      <c r="Q2459" s="57"/>
      <c r="R2459" s="57"/>
      <c r="S2459" s="57"/>
      <c r="T2459" s="57"/>
      <c r="U2459" s="57"/>
      <c r="V2459" s="57"/>
      <c r="W2459" s="57"/>
      <c r="X2459" s="57"/>
      <c r="Y2459" s="57"/>
      <c r="Z2459" s="57"/>
      <c r="AA2459" s="57"/>
      <c r="AB2459" s="57"/>
      <c r="AC2459" s="57"/>
      <c r="AD2459" s="57"/>
      <c r="AE2459" s="57"/>
      <c r="AF2459" s="57"/>
    </row>
    <row r="2460" spans="1:32" x14ac:dyDescent="0.2">
      <c r="A2460" s="57"/>
      <c r="B2460" s="57"/>
      <c r="C2460" s="57"/>
      <c r="D2460" s="57"/>
      <c r="E2460" s="57"/>
      <c r="F2460" s="985"/>
      <c r="G2460" s="57"/>
      <c r="H2460" s="57"/>
      <c r="I2460" s="990"/>
      <c r="J2460" s="57"/>
      <c r="K2460" s="57"/>
      <c r="L2460" s="57"/>
      <c r="M2460" s="57"/>
      <c r="N2460" s="57"/>
      <c r="O2460" s="57"/>
      <c r="P2460" s="57"/>
      <c r="Q2460" s="57"/>
      <c r="R2460" s="57"/>
      <c r="S2460" s="57"/>
      <c r="T2460" s="57"/>
      <c r="U2460" s="57"/>
      <c r="V2460" s="57"/>
      <c r="W2460" s="57"/>
      <c r="X2460" s="57"/>
      <c r="Y2460" s="57"/>
      <c r="Z2460" s="57"/>
      <c r="AA2460" s="57"/>
      <c r="AB2460" s="57"/>
      <c r="AC2460" s="57"/>
      <c r="AD2460" s="57"/>
      <c r="AE2460" s="57"/>
      <c r="AF2460" s="57"/>
    </row>
    <row r="2461" spans="1:32" x14ac:dyDescent="0.2">
      <c r="A2461" s="57"/>
      <c r="B2461" s="57"/>
      <c r="C2461" s="57"/>
      <c r="D2461" s="57"/>
      <c r="E2461" s="57"/>
      <c r="F2461" s="985"/>
      <c r="G2461" s="57"/>
      <c r="H2461" s="57"/>
      <c r="I2461" s="990"/>
      <c r="J2461" s="57"/>
      <c r="K2461" s="57"/>
      <c r="L2461" s="57"/>
      <c r="M2461" s="57"/>
      <c r="N2461" s="57"/>
      <c r="O2461" s="57"/>
      <c r="P2461" s="57"/>
      <c r="Q2461" s="57"/>
      <c r="R2461" s="57"/>
      <c r="S2461" s="57"/>
      <c r="T2461" s="57"/>
      <c r="U2461" s="57"/>
      <c r="V2461" s="57"/>
      <c r="W2461" s="57"/>
      <c r="X2461" s="57"/>
      <c r="Y2461" s="57"/>
      <c r="Z2461" s="57"/>
      <c r="AA2461" s="57"/>
      <c r="AB2461" s="57"/>
      <c r="AC2461" s="57"/>
      <c r="AD2461" s="57"/>
      <c r="AE2461" s="57"/>
      <c r="AF2461" s="57"/>
    </row>
    <row r="2462" spans="1:32" x14ac:dyDescent="0.2">
      <c r="A2462" s="57"/>
      <c r="B2462" s="57"/>
      <c r="C2462" s="57"/>
      <c r="D2462" s="57"/>
      <c r="E2462" s="57"/>
      <c r="F2462" s="985"/>
      <c r="G2462" s="57"/>
      <c r="H2462" s="57"/>
      <c r="I2462" s="990"/>
      <c r="J2462" s="57"/>
      <c r="K2462" s="57"/>
      <c r="L2462" s="57"/>
      <c r="M2462" s="57"/>
      <c r="N2462" s="57"/>
      <c r="O2462" s="57"/>
      <c r="P2462" s="57"/>
      <c r="Q2462" s="57"/>
      <c r="R2462" s="57"/>
      <c r="S2462" s="57"/>
      <c r="T2462" s="57"/>
      <c r="U2462" s="57"/>
      <c r="V2462" s="57"/>
      <c r="W2462" s="57"/>
      <c r="X2462" s="57"/>
      <c r="Y2462" s="57"/>
      <c r="Z2462" s="57"/>
      <c r="AA2462" s="57"/>
      <c r="AB2462" s="57"/>
      <c r="AC2462" s="57"/>
      <c r="AD2462" s="57"/>
      <c r="AE2462" s="57"/>
      <c r="AF2462" s="57"/>
    </row>
    <row r="2463" spans="1:32" x14ac:dyDescent="0.2">
      <c r="A2463" s="57"/>
      <c r="B2463" s="57"/>
      <c r="C2463" s="57"/>
      <c r="D2463" s="57"/>
      <c r="E2463" s="57"/>
      <c r="F2463" s="985"/>
      <c r="G2463" s="57"/>
      <c r="H2463" s="57"/>
      <c r="I2463" s="990"/>
      <c r="J2463" s="57"/>
      <c r="K2463" s="57"/>
      <c r="L2463" s="57"/>
      <c r="M2463" s="57"/>
      <c r="N2463" s="57"/>
      <c r="O2463" s="57"/>
      <c r="P2463" s="57"/>
      <c r="Q2463" s="57"/>
      <c r="R2463" s="57"/>
      <c r="S2463" s="57"/>
      <c r="T2463" s="57"/>
      <c r="U2463" s="57"/>
      <c r="V2463" s="57"/>
      <c r="W2463" s="57"/>
      <c r="X2463" s="57"/>
      <c r="Y2463" s="57"/>
      <c r="Z2463" s="57"/>
      <c r="AA2463" s="57"/>
      <c r="AB2463" s="57"/>
      <c r="AC2463" s="57"/>
      <c r="AD2463" s="57"/>
      <c r="AE2463" s="57"/>
      <c r="AF2463" s="57"/>
    </row>
    <row r="2464" spans="1:32" x14ac:dyDescent="0.2">
      <c r="A2464" s="57"/>
      <c r="B2464" s="57"/>
      <c r="C2464" s="57"/>
      <c r="D2464" s="57"/>
      <c r="E2464" s="57"/>
      <c r="F2464" s="985"/>
      <c r="G2464" s="57"/>
      <c r="H2464" s="57"/>
      <c r="I2464" s="990"/>
      <c r="J2464" s="57"/>
      <c r="K2464" s="57"/>
      <c r="L2464" s="57"/>
      <c r="M2464" s="57"/>
      <c r="N2464" s="57"/>
      <c r="O2464" s="57"/>
      <c r="P2464" s="57"/>
      <c r="Q2464" s="57"/>
      <c r="R2464" s="57"/>
      <c r="S2464" s="57"/>
      <c r="T2464" s="57"/>
      <c r="U2464" s="57"/>
      <c r="V2464" s="57"/>
      <c r="W2464" s="57"/>
      <c r="X2464" s="57"/>
      <c r="Y2464" s="57"/>
      <c r="Z2464" s="57"/>
      <c r="AA2464" s="57"/>
      <c r="AB2464" s="57"/>
      <c r="AC2464" s="57"/>
      <c r="AD2464" s="57"/>
      <c r="AE2464" s="57"/>
      <c r="AF2464" s="57"/>
    </row>
    <row r="2465" spans="1:32" x14ac:dyDescent="0.2">
      <c r="A2465" s="57"/>
      <c r="B2465" s="57"/>
      <c r="C2465" s="57"/>
      <c r="D2465" s="57"/>
      <c r="E2465" s="57"/>
      <c r="F2465" s="985"/>
      <c r="G2465" s="57"/>
      <c r="H2465" s="57"/>
      <c r="I2465" s="990"/>
      <c r="J2465" s="57"/>
      <c r="K2465" s="57"/>
      <c r="L2465" s="57"/>
      <c r="M2465" s="57"/>
      <c r="N2465" s="57"/>
      <c r="O2465" s="57"/>
      <c r="P2465" s="57"/>
      <c r="Q2465" s="57"/>
      <c r="R2465" s="57"/>
      <c r="S2465" s="57"/>
      <c r="T2465" s="57"/>
      <c r="U2465" s="57"/>
      <c r="V2465" s="57"/>
      <c r="W2465" s="57"/>
      <c r="X2465" s="57"/>
      <c r="Y2465" s="57"/>
      <c r="Z2465" s="57"/>
      <c r="AA2465" s="57"/>
      <c r="AB2465" s="57"/>
      <c r="AC2465" s="57"/>
      <c r="AD2465" s="57"/>
      <c r="AE2465" s="57"/>
      <c r="AF2465" s="57"/>
    </row>
    <row r="2466" spans="1:32" x14ac:dyDescent="0.2">
      <c r="A2466" s="57"/>
      <c r="B2466" s="57"/>
      <c r="C2466" s="57"/>
      <c r="D2466" s="57"/>
      <c r="E2466" s="57"/>
      <c r="F2466" s="985"/>
      <c r="G2466" s="57"/>
      <c r="H2466" s="57"/>
      <c r="I2466" s="990"/>
      <c r="J2466" s="57"/>
      <c r="K2466" s="57"/>
      <c r="L2466" s="57"/>
      <c r="M2466" s="57"/>
      <c r="N2466" s="57"/>
      <c r="O2466" s="57"/>
      <c r="P2466" s="57"/>
      <c r="Q2466" s="57"/>
      <c r="R2466" s="57"/>
      <c r="S2466" s="57"/>
      <c r="T2466" s="57"/>
      <c r="U2466" s="57"/>
      <c r="V2466" s="57"/>
      <c r="W2466" s="57"/>
      <c r="X2466" s="57"/>
      <c r="Y2466" s="57"/>
      <c r="Z2466" s="57"/>
      <c r="AA2466" s="57"/>
      <c r="AB2466" s="57"/>
      <c r="AC2466" s="57"/>
      <c r="AD2466" s="57"/>
      <c r="AE2466" s="57"/>
      <c r="AF2466" s="57"/>
    </row>
    <row r="2467" spans="1:32" x14ac:dyDescent="0.2">
      <c r="A2467" s="57"/>
      <c r="B2467" s="57"/>
      <c r="C2467" s="57"/>
      <c r="D2467" s="57"/>
      <c r="E2467" s="57"/>
      <c r="F2467" s="985"/>
      <c r="G2467" s="57"/>
      <c r="H2467" s="57"/>
      <c r="I2467" s="990"/>
      <c r="J2467" s="57"/>
      <c r="K2467" s="57"/>
      <c r="L2467" s="57"/>
      <c r="M2467" s="57"/>
      <c r="N2467" s="57"/>
      <c r="O2467" s="57"/>
      <c r="P2467" s="57"/>
      <c r="Q2467" s="57"/>
      <c r="R2467" s="57"/>
      <c r="S2467" s="57"/>
      <c r="T2467" s="57"/>
      <c r="U2467" s="57"/>
      <c r="V2467" s="57"/>
      <c r="W2467" s="57"/>
      <c r="X2467" s="57"/>
      <c r="Y2467" s="57"/>
      <c r="Z2467" s="57"/>
      <c r="AA2467" s="57"/>
      <c r="AB2467" s="57"/>
      <c r="AC2467" s="57"/>
      <c r="AD2467" s="57"/>
      <c r="AE2467" s="57"/>
      <c r="AF2467" s="57"/>
    </row>
    <row r="2468" spans="1:32" x14ac:dyDescent="0.2">
      <c r="A2468" s="57"/>
      <c r="B2468" s="57"/>
      <c r="C2468" s="57"/>
      <c r="D2468" s="57"/>
      <c r="E2468" s="57"/>
      <c r="F2468" s="985"/>
      <c r="G2468" s="57"/>
      <c r="H2468" s="57"/>
      <c r="I2468" s="990"/>
      <c r="J2468" s="57"/>
      <c r="K2468" s="57"/>
      <c r="L2468" s="57"/>
      <c r="M2468" s="57"/>
      <c r="N2468" s="57"/>
      <c r="O2468" s="57"/>
      <c r="P2468" s="57"/>
      <c r="Q2468" s="57"/>
      <c r="R2468" s="57"/>
      <c r="S2468" s="57"/>
      <c r="T2468" s="57"/>
      <c r="U2468" s="57"/>
      <c r="V2468" s="57"/>
      <c r="W2468" s="57"/>
      <c r="X2468" s="57"/>
      <c r="Y2468" s="57"/>
      <c r="Z2468" s="57"/>
      <c r="AA2468" s="57"/>
      <c r="AB2468" s="57"/>
      <c r="AC2468" s="57"/>
      <c r="AD2468" s="57"/>
      <c r="AE2468" s="57"/>
      <c r="AF2468" s="57"/>
    </row>
    <row r="2469" spans="1:32" x14ac:dyDescent="0.2">
      <c r="A2469" s="57"/>
      <c r="B2469" s="57"/>
      <c r="C2469" s="57"/>
      <c r="D2469" s="57"/>
      <c r="E2469" s="57"/>
      <c r="F2469" s="985"/>
      <c r="G2469" s="57"/>
      <c r="H2469" s="57"/>
      <c r="I2469" s="990"/>
      <c r="J2469" s="57"/>
      <c r="K2469" s="57"/>
      <c r="L2469" s="57"/>
      <c r="M2469" s="57"/>
      <c r="N2469" s="57"/>
      <c r="O2469" s="57"/>
      <c r="P2469" s="57"/>
      <c r="Q2469" s="57"/>
      <c r="R2469" s="57"/>
      <c r="S2469" s="57"/>
      <c r="T2469" s="57"/>
      <c r="U2469" s="57"/>
      <c r="V2469" s="57"/>
      <c r="W2469" s="57"/>
      <c r="X2469" s="57"/>
      <c r="Y2469" s="57"/>
      <c r="Z2469" s="57"/>
      <c r="AA2469" s="57"/>
      <c r="AB2469" s="57"/>
      <c r="AC2469" s="57"/>
      <c r="AD2469" s="57"/>
      <c r="AE2469" s="57"/>
      <c r="AF2469" s="57"/>
    </row>
    <row r="2470" spans="1:32" x14ac:dyDescent="0.2">
      <c r="A2470" s="57"/>
      <c r="B2470" s="57"/>
      <c r="C2470" s="57"/>
      <c r="D2470" s="57"/>
      <c r="E2470" s="57"/>
      <c r="F2470" s="985"/>
      <c r="G2470" s="57"/>
      <c r="H2470" s="57"/>
      <c r="I2470" s="990"/>
      <c r="J2470" s="57"/>
      <c r="K2470" s="57"/>
      <c r="L2470" s="57"/>
      <c r="M2470" s="57"/>
      <c r="N2470" s="57"/>
      <c r="O2470" s="57"/>
      <c r="P2470" s="57"/>
      <c r="Q2470" s="57"/>
      <c r="R2470" s="57"/>
      <c r="S2470" s="57"/>
      <c r="T2470" s="57"/>
      <c r="U2470" s="57"/>
      <c r="V2470" s="57"/>
      <c r="W2470" s="57"/>
      <c r="X2470" s="57"/>
      <c r="Y2470" s="57"/>
      <c r="Z2470" s="57"/>
      <c r="AA2470" s="57"/>
      <c r="AB2470" s="57"/>
      <c r="AC2470" s="57"/>
      <c r="AD2470" s="57"/>
      <c r="AE2470" s="57"/>
      <c r="AF2470" s="57"/>
    </row>
    <row r="2471" spans="1:32" x14ac:dyDescent="0.2">
      <c r="A2471" s="57"/>
      <c r="B2471" s="57"/>
      <c r="C2471" s="57"/>
      <c r="D2471" s="57"/>
      <c r="E2471" s="57"/>
      <c r="F2471" s="985"/>
      <c r="G2471" s="57"/>
      <c r="H2471" s="57"/>
      <c r="I2471" s="990"/>
      <c r="J2471" s="57"/>
      <c r="K2471" s="57"/>
      <c r="L2471" s="57"/>
      <c r="M2471" s="57"/>
      <c r="N2471" s="57"/>
      <c r="O2471" s="57"/>
      <c r="P2471" s="57"/>
      <c r="Q2471" s="57"/>
      <c r="R2471" s="57"/>
      <c r="S2471" s="57"/>
      <c r="T2471" s="57"/>
      <c r="U2471" s="57"/>
      <c r="V2471" s="57"/>
      <c r="W2471" s="57"/>
      <c r="X2471" s="57"/>
      <c r="Y2471" s="57"/>
      <c r="Z2471" s="57"/>
      <c r="AA2471" s="57"/>
      <c r="AB2471" s="57"/>
      <c r="AC2471" s="57"/>
      <c r="AD2471" s="57"/>
      <c r="AE2471" s="57"/>
      <c r="AF2471" s="57"/>
    </row>
    <row r="2472" spans="1:32" x14ac:dyDescent="0.2">
      <c r="A2472" s="57"/>
      <c r="B2472" s="57"/>
      <c r="C2472" s="57"/>
      <c r="D2472" s="57"/>
      <c r="E2472" s="57"/>
      <c r="F2472" s="985"/>
      <c r="G2472" s="57"/>
      <c r="H2472" s="57"/>
      <c r="I2472" s="990"/>
      <c r="J2472" s="57"/>
      <c r="K2472" s="57"/>
      <c r="L2472" s="57"/>
      <c r="M2472" s="57"/>
      <c r="N2472" s="57"/>
      <c r="O2472" s="57"/>
      <c r="P2472" s="57"/>
      <c r="Q2472" s="57"/>
      <c r="R2472" s="57"/>
      <c r="S2472" s="57"/>
      <c r="T2472" s="57"/>
      <c r="U2472" s="57"/>
      <c r="V2472" s="57"/>
      <c r="W2472" s="57"/>
      <c r="X2472" s="57"/>
      <c r="Y2472" s="57"/>
      <c r="Z2472" s="57"/>
      <c r="AA2472" s="57"/>
      <c r="AB2472" s="57"/>
      <c r="AC2472" s="57"/>
      <c r="AD2472" s="57"/>
      <c r="AE2472" s="57"/>
      <c r="AF2472" s="57"/>
    </row>
    <row r="2473" spans="1:32" x14ac:dyDescent="0.2">
      <c r="A2473" s="57"/>
      <c r="B2473" s="57"/>
      <c r="C2473" s="57"/>
      <c r="D2473" s="57"/>
      <c r="E2473" s="57"/>
      <c r="F2473" s="985"/>
      <c r="G2473" s="57"/>
      <c r="H2473" s="57"/>
      <c r="I2473" s="990"/>
      <c r="J2473" s="57"/>
      <c r="K2473" s="57"/>
      <c r="L2473" s="57"/>
      <c r="M2473" s="57"/>
      <c r="N2473" s="57"/>
      <c r="O2473" s="57"/>
      <c r="P2473" s="57"/>
      <c r="Q2473" s="57"/>
      <c r="R2473" s="57"/>
      <c r="S2473" s="57"/>
      <c r="T2473" s="57"/>
      <c r="U2473" s="57"/>
      <c r="V2473" s="57"/>
      <c r="W2473" s="57"/>
      <c r="X2473" s="57"/>
      <c r="Y2473" s="57"/>
      <c r="Z2473" s="57"/>
      <c r="AA2473" s="57"/>
      <c r="AB2473" s="57"/>
      <c r="AC2473" s="57"/>
      <c r="AD2473" s="57"/>
      <c r="AE2473" s="57"/>
      <c r="AF2473" s="57"/>
    </row>
    <row r="2474" spans="1:32" x14ac:dyDescent="0.2">
      <c r="A2474" s="57"/>
      <c r="B2474" s="57"/>
      <c r="C2474" s="57"/>
      <c r="D2474" s="57"/>
      <c r="E2474" s="57"/>
      <c r="F2474" s="985"/>
      <c r="G2474" s="57"/>
      <c r="H2474" s="57"/>
      <c r="I2474" s="990"/>
      <c r="J2474" s="57"/>
      <c r="K2474" s="57"/>
      <c r="L2474" s="57"/>
      <c r="M2474" s="57"/>
      <c r="N2474" s="57"/>
      <c r="O2474" s="57"/>
      <c r="P2474" s="57"/>
      <c r="Q2474" s="57"/>
      <c r="R2474" s="57"/>
      <c r="S2474" s="57"/>
      <c r="T2474" s="57"/>
      <c r="U2474" s="57"/>
      <c r="V2474" s="57"/>
      <c r="W2474" s="57"/>
      <c r="X2474" s="57"/>
      <c r="Y2474" s="57"/>
      <c r="Z2474" s="57"/>
      <c r="AA2474" s="57"/>
      <c r="AB2474" s="57"/>
      <c r="AC2474" s="57"/>
      <c r="AD2474" s="57"/>
      <c r="AE2474" s="57"/>
      <c r="AF2474" s="57"/>
    </row>
    <row r="2475" spans="1:32" x14ac:dyDescent="0.2">
      <c r="A2475" s="57"/>
      <c r="B2475" s="57"/>
      <c r="C2475" s="57"/>
      <c r="D2475" s="57"/>
      <c r="E2475" s="57"/>
      <c r="F2475" s="985"/>
      <c r="G2475" s="57"/>
      <c r="H2475" s="57"/>
      <c r="I2475" s="990"/>
      <c r="J2475" s="57"/>
      <c r="K2475" s="57"/>
      <c r="L2475" s="57"/>
      <c r="M2475" s="57"/>
      <c r="N2475" s="57"/>
      <c r="O2475" s="57"/>
      <c r="P2475" s="57"/>
      <c r="Q2475" s="57"/>
      <c r="R2475" s="57"/>
      <c r="S2475" s="57"/>
      <c r="T2475" s="57"/>
      <c r="U2475" s="57"/>
      <c r="V2475" s="57"/>
      <c r="W2475" s="57"/>
      <c r="X2475" s="57"/>
      <c r="Y2475" s="57"/>
      <c r="Z2475" s="57"/>
      <c r="AA2475" s="57"/>
      <c r="AB2475" s="57"/>
      <c r="AC2475" s="57"/>
      <c r="AD2475" s="57"/>
      <c r="AE2475" s="57"/>
      <c r="AF2475" s="57"/>
    </row>
    <row r="2476" spans="1:32" x14ac:dyDescent="0.2">
      <c r="A2476" s="57"/>
      <c r="B2476" s="57"/>
      <c r="C2476" s="57"/>
      <c r="D2476" s="57"/>
      <c r="E2476" s="57"/>
      <c r="F2476" s="985"/>
      <c r="G2476" s="57"/>
      <c r="H2476" s="57"/>
      <c r="I2476" s="990"/>
      <c r="J2476" s="57"/>
      <c r="K2476" s="57"/>
      <c r="L2476" s="57"/>
      <c r="M2476" s="57"/>
      <c r="N2476" s="57"/>
      <c r="O2476" s="57"/>
      <c r="P2476" s="57"/>
      <c r="Q2476" s="57"/>
      <c r="R2476" s="57"/>
      <c r="S2476" s="57"/>
      <c r="T2476" s="57"/>
      <c r="U2476" s="57"/>
      <c r="V2476" s="57"/>
      <c r="W2476" s="57"/>
      <c r="X2476" s="57"/>
      <c r="Y2476" s="57"/>
      <c r="Z2476" s="57"/>
      <c r="AA2476" s="57"/>
      <c r="AB2476" s="57"/>
      <c r="AC2476" s="57"/>
      <c r="AD2476" s="57"/>
      <c r="AE2476" s="57"/>
      <c r="AF2476" s="57"/>
    </row>
    <row r="2477" spans="1:32" x14ac:dyDescent="0.2">
      <c r="A2477" s="57"/>
      <c r="B2477" s="57"/>
      <c r="C2477" s="57"/>
      <c r="D2477" s="57"/>
      <c r="E2477" s="57"/>
      <c r="F2477" s="985"/>
      <c r="G2477" s="57"/>
      <c r="H2477" s="57"/>
      <c r="I2477" s="990"/>
      <c r="J2477" s="57"/>
      <c r="K2477" s="57"/>
      <c r="L2477" s="57"/>
      <c r="M2477" s="57"/>
      <c r="N2477" s="57"/>
      <c r="O2477" s="57"/>
      <c r="P2477" s="57"/>
      <c r="Q2477" s="57"/>
      <c r="R2477" s="57"/>
      <c r="S2477" s="57"/>
      <c r="T2477" s="57"/>
      <c r="U2477" s="57"/>
      <c r="V2477" s="57"/>
      <c r="W2477" s="57"/>
      <c r="X2477" s="57"/>
      <c r="Y2477" s="57"/>
      <c r="Z2477" s="57"/>
      <c r="AA2477" s="57"/>
      <c r="AB2477" s="57"/>
      <c r="AC2477" s="57"/>
      <c r="AD2477" s="57"/>
      <c r="AE2477" s="57"/>
      <c r="AF2477" s="57"/>
    </row>
    <row r="2478" spans="1:32" x14ac:dyDescent="0.2">
      <c r="A2478" s="57"/>
      <c r="B2478" s="57"/>
      <c r="C2478" s="57"/>
      <c r="D2478" s="57"/>
      <c r="E2478" s="57"/>
      <c r="F2478" s="985"/>
      <c r="G2478" s="57"/>
      <c r="H2478" s="57"/>
      <c r="I2478" s="990"/>
      <c r="J2478" s="57"/>
      <c r="K2478" s="57"/>
      <c r="L2478" s="57"/>
      <c r="M2478" s="57"/>
      <c r="N2478" s="57"/>
      <c r="O2478" s="57"/>
      <c r="P2478" s="57"/>
      <c r="Q2478" s="57"/>
      <c r="R2478" s="57"/>
      <c r="S2478" s="57"/>
      <c r="T2478" s="57"/>
      <c r="U2478" s="57"/>
      <c r="V2478" s="57"/>
      <c r="W2478" s="57"/>
      <c r="X2478" s="57"/>
      <c r="Y2478" s="57"/>
      <c r="Z2478" s="57"/>
      <c r="AA2478" s="57"/>
      <c r="AB2478" s="57"/>
      <c r="AC2478" s="57"/>
      <c r="AD2478" s="57"/>
      <c r="AE2478" s="57"/>
      <c r="AF2478" s="57"/>
    </row>
    <row r="2479" spans="1:32" x14ac:dyDescent="0.2">
      <c r="A2479" s="57"/>
      <c r="B2479" s="57"/>
      <c r="C2479" s="57"/>
      <c r="D2479" s="57"/>
      <c r="E2479" s="57"/>
      <c r="F2479" s="985"/>
      <c r="G2479" s="57"/>
      <c r="H2479" s="57"/>
      <c r="I2479" s="990"/>
      <c r="J2479" s="57"/>
      <c r="K2479" s="57"/>
      <c r="L2479" s="57"/>
      <c r="M2479" s="57"/>
      <c r="N2479" s="57"/>
      <c r="O2479" s="57"/>
      <c r="P2479" s="57"/>
      <c r="Q2479" s="57"/>
      <c r="R2479" s="57"/>
      <c r="S2479" s="57"/>
      <c r="T2479" s="57"/>
      <c r="U2479" s="57"/>
      <c r="V2479" s="57"/>
      <c r="W2479" s="57"/>
      <c r="X2479" s="57"/>
      <c r="Y2479" s="57"/>
      <c r="Z2479" s="57"/>
      <c r="AA2479" s="57"/>
      <c r="AB2479" s="57"/>
      <c r="AC2479" s="57"/>
      <c r="AD2479" s="57"/>
      <c r="AE2479" s="57"/>
      <c r="AF2479" s="57"/>
    </row>
    <row r="2480" spans="1:32" x14ac:dyDescent="0.2">
      <c r="A2480" s="57"/>
      <c r="B2480" s="57"/>
      <c r="C2480" s="57"/>
      <c r="D2480" s="57"/>
      <c r="E2480" s="57"/>
      <c r="F2480" s="985"/>
      <c r="G2480" s="57"/>
      <c r="H2480" s="57"/>
      <c r="I2480" s="990"/>
      <c r="J2480" s="57"/>
      <c r="K2480" s="57"/>
      <c r="L2480" s="57"/>
      <c r="M2480" s="57"/>
      <c r="N2480" s="57"/>
      <c r="O2480" s="57"/>
      <c r="P2480" s="57"/>
      <c r="Q2480" s="57"/>
      <c r="R2480" s="57"/>
      <c r="S2480" s="57"/>
      <c r="T2480" s="57"/>
      <c r="U2480" s="57"/>
      <c r="V2480" s="57"/>
      <c r="W2480" s="57"/>
      <c r="X2480" s="57"/>
      <c r="Y2480" s="57"/>
      <c r="Z2480" s="57"/>
      <c r="AA2480" s="57"/>
      <c r="AB2480" s="57"/>
      <c r="AC2480" s="57"/>
      <c r="AD2480" s="57"/>
      <c r="AE2480" s="57"/>
      <c r="AF2480" s="57"/>
    </row>
    <row r="2481" spans="1:32" x14ac:dyDescent="0.2">
      <c r="A2481" s="57"/>
      <c r="B2481" s="57"/>
      <c r="C2481" s="57"/>
      <c r="D2481" s="57"/>
      <c r="E2481" s="57"/>
      <c r="F2481" s="985"/>
      <c r="G2481" s="57"/>
      <c r="H2481" s="57"/>
      <c r="I2481" s="990"/>
      <c r="J2481" s="57"/>
      <c r="K2481" s="57"/>
      <c r="L2481" s="57"/>
      <c r="M2481" s="57"/>
      <c r="N2481" s="57"/>
      <c r="O2481" s="57"/>
      <c r="P2481" s="57"/>
      <c r="Q2481" s="57"/>
      <c r="R2481" s="57"/>
      <c r="S2481" s="57"/>
      <c r="T2481" s="57"/>
      <c r="U2481" s="57"/>
      <c r="V2481" s="57"/>
      <c r="W2481" s="57"/>
      <c r="X2481" s="57"/>
      <c r="Y2481" s="57"/>
      <c r="Z2481" s="57"/>
      <c r="AA2481" s="57"/>
      <c r="AB2481" s="57"/>
      <c r="AC2481" s="57"/>
      <c r="AD2481" s="57"/>
      <c r="AE2481" s="57"/>
      <c r="AF2481" s="57"/>
    </row>
    <row r="2482" spans="1:32" x14ac:dyDescent="0.2">
      <c r="A2482" s="57"/>
      <c r="B2482" s="57"/>
      <c r="C2482" s="57"/>
      <c r="D2482" s="57"/>
      <c r="E2482" s="57"/>
      <c r="F2482" s="985"/>
      <c r="G2482" s="57"/>
      <c r="H2482" s="57"/>
      <c r="I2482" s="990"/>
      <c r="J2482" s="57"/>
      <c r="K2482" s="57"/>
      <c r="L2482" s="57"/>
      <c r="M2482" s="57"/>
      <c r="N2482" s="57"/>
      <c r="O2482" s="57"/>
      <c r="P2482" s="57"/>
      <c r="Q2482" s="57"/>
      <c r="R2482" s="57"/>
      <c r="S2482" s="57"/>
      <c r="T2482" s="57"/>
      <c r="U2482" s="57"/>
      <c r="V2482" s="57"/>
      <c r="W2482" s="57"/>
      <c r="X2482" s="57"/>
      <c r="Y2482" s="57"/>
      <c r="Z2482" s="57"/>
      <c r="AA2482" s="57"/>
      <c r="AB2482" s="57"/>
      <c r="AC2482" s="57"/>
      <c r="AD2482" s="57"/>
      <c r="AE2482" s="57"/>
      <c r="AF2482" s="57"/>
    </row>
    <row r="2483" spans="1:32" x14ac:dyDescent="0.2">
      <c r="A2483" s="57"/>
      <c r="B2483" s="57"/>
      <c r="C2483" s="57"/>
      <c r="D2483" s="57"/>
      <c r="E2483" s="57"/>
      <c r="F2483" s="985"/>
      <c r="G2483" s="57"/>
      <c r="H2483" s="57"/>
      <c r="I2483" s="990"/>
      <c r="J2483" s="57"/>
      <c r="K2483" s="57"/>
      <c r="L2483" s="57"/>
      <c r="M2483" s="57"/>
      <c r="N2483" s="57"/>
      <c r="O2483" s="57"/>
      <c r="P2483" s="57"/>
      <c r="Q2483" s="57"/>
      <c r="R2483" s="57"/>
      <c r="S2483" s="57"/>
      <c r="T2483" s="57"/>
      <c r="U2483" s="57"/>
      <c r="V2483" s="57"/>
      <c r="W2483" s="57"/>
      <c r="X2483" s="57"/>
      <c r="Y2483" s="57"/>
      <c r="Z2483" s="57"/>
      <c r="AA2483" s="57"/>
      <c r="AB2483" s="57"/>
      <c r="AC2483" s="57"/>
      <c r="AD2483" s="57"/>
      <c r="AE2483" s="57"/>
      <c r="AF2483" s="57"/>
    </row>
    <row r="2484" spans="1:32" x14ac:dyDescent="0.2">
      <c r="A2484" s="57"/>
      <c r="B2484" s="57"/>
      <c r="C2484" s="57"/>
      <c r="D2484" s="57"/>
      <c r="E2484" s="57"/>
      <c r="F2484" s="985"/>
      <c r="G2484" s="57"/>
      <c r="H2484" s="57"/>
      <c r="I2484" s="990"/>
      <c r="J2484" s="57"/>
      <c r="K2484" s="57"/>
      <c r="L2484" s="57"/>
      <c r="M2484" s="57"/>
      <c r="N2484" s="57"/>
      <c r="O2484" s="57"/>
      <c r="P2484" s="57"/>
      <c r="Q2484" s="57"/>
      <c r="R2484" s="57"/>
      <c r="S2484" s="57"/>
      <c r="T2484" s="57"/>
      <c r="U2484" s="57"/>
      <c r="V2484" s="57"/>
      <c r="W2484" s="57"/>
      <c r="X2484" s="57"/>
      <c r="Y2484" s="57"/>
      <c r="Z2484" s="57"/>
      <c r="AA2484" s="57"/>
      <c r="AB2484" s="57"/>
      <c r="AC2484" s="57"/>
      <c r="AD2484" s="57"/>
      <c r="AE2484" s="57"/>
      <c r="AF2484" s="57"/>
    </row>
    <row r="2485" spans="1:32" x14ac:dyDescent="0.2">
      <c r="A2485" s="57"/>
      <c r="B2485" s="57"/>
      <c r="C2485" s="57"/>
      <c r="D2485" s="57"/>
      <c r="E2485" s="57"/>
      <c r="F2485" s="985"/>
      <c r="G2485" s="57"/>
      <c r="H2485" s="57"/>
      <c r="I2485" s="990"/>
      <c r="J2485" s="57"/>
      <c r="K2485" s="57"/>
      <c r="L2485" s="57"/>
      <c r="M2485" s="57"/>
      <c r="N2485" s="57"/>
      <c r="O2485" s="57"/>
      <c r="P2485" s="57"/>
      <c r="Q2485" s="57"/>
      <c r="R2485" s="57"/>
      <c r="S2485" s="57"/>
      <c r="T2485" s="57"/>
      <c r="U2485" s="57"/>
      <c r="V2485" s="57"/>
      <c r="W2485" s="57"/>
      <c r="X2485" s="57"/>
      <c r="Y2485" s="57"/>
      <c r="Z2485" s="57"/>
      <c r="AA2485" s="57"/>
      <c r="AB2485" s="57"/>
      <c r="AC2485" s="57"/>
      <c r="AD2485" s="57"/>
      <c r="AE2485" s="57"/>
      <c r="AF2485" s="57"/>
    </row>
    <row r="2486" spans="1:32" x14ac:dyDescent="0.2">
      <c r="A2486" s="57"/>
      <c r="B2486" s="57"/>
      <c r="C2486" s="57"/>
      <c r="D2486" s="57"/>
      <c r="E2486" s="57"/>
      <c r="F2486" s="985"/>
      <c r="G2486" s="57"/>
      <c r="H2486" s="57"/>
      <c r="I2486" s="990"/>
      <c r="J2486" s="57"/>
      <c r="K2486" s="57"/>
      <c r="L2486" s="57"/>
      <c r="M2486" s="57"/>
      <c r="N2486" s="57"/>
      <c r="O2486" s="57"/>
      <c r="P2486" s="57"/>
      <c r="Q2486" s="57"/>
      <c r="R2486" s="57"/>
      <c r="S2486" s="57"/>
      <c r="T2486" s="57"/>
      <c r="U2486" s="57"/>
      <c r="V2486" s="57"/>
      <c r="W2486" s="57"/>
      <c r="X2486" s="57"/>
      <c r="Y2486" s="57"/>
      <c r="Z2486" s="57"/>
      <c r="AA2486" s="57"/>
      <c r="AB2486" s="57"/>
      <c r="AC2486" s="57"/>
      <c r="AD2486" s="57"/>
      <c r="AE2486" s="57"/>
      <c r="AF2486" s="57"/>
    </row>
    <row r="2487" spans="1:32" x14ac:dyDescent="0.2">
      <c r="A2487" s="57"/>
      <c r="B2487" s="57"/>
      <c r="C2487" s="57"/>
      <c r="D2487" s="57"/>
      <c r="E2487" s="57"/>
      <c r="F2487" s="985"/>
      <c r="G2487" s="57"/>
      <c r="H2487" s="57"/>
      <c r="I2487" s="990"/>
      <c r="J2487" s="57"/>
      <c r="K2487" s="57"/>
      <c r="L2487" s="57"/>
      <c r="M2487" s="57"/>
      <c r="N2487" s="57"/>
      <c r="O2487" s="57"/>
      <c r="P2487" s="57"/>
      <c r="Q2487" s="57"/>
      <c r="R2487" s="57"/>
      <c r="S2487" s="57"/>
      <c r="T2487" s="57"/>
      <c r="U2487" s="57"/>
      <c r="V2487" s="57"/>
      <c r="W2487" s="57"/>
      <c r="X2487" s="57"/>
      <c r="Y2487" s="57"/>
      <c r="Z2487" s="57"/>
      <c r="AA2487" s="57"/>
      <c r="AB2487" s="57"/>
      <c r="AC2487" s="57"/>
      <c r="AD2487" s="57"/>
      <c r="AE2487" s="57"/>
      <c r="AF2487" s="57"/>
    </row>
    <row r="2488" spans="1:32" x14ac:dyDescent="0.2">
      <c r="A2488" s="57"/>
      <c r="B2488" s="57"/>
      <c r="C2488" s="57"/>
      <c r="D2488" s="57"/>
      <c r="E2488" s="57"/>
      <c r="F2488" s="985"/>
      <c r="G2488" s="57"/>
      <c r="H2488" s="57"/>
      <c r="I2488" s="990"/>
      <c r="J2488" s="57"/>
      <c r="K2488" s="57"/>
      <c r="L2488" s="57"/>
      <c r="M2488" s="57"/>
      <c r="N2488" s="57"/>
      <c r="O2488" s="57"/>
      <c r="P2488" s="57"/>
      <c r="Q2488" s="57"/>
      <c r="R2488" s="57"/>
      <c r="S2488" s="57"/>
      <c r="T2488" s="57"/>
      <c r="U2488" s="57"/>
      <c r="V2488" s="57"/>
      <c r="W2488" s="57"/>
      <c r="X2488" s="57"/>
      <c r="Y2488" s="57"/>
      <c r="Z2488" s="57"/>
      <c r="AA2488" s="57"/>
      <c r="AB2488" s="57"/>
      <c r="AC2488" s="57"/>
      <c r="AD2488" s="57"/>
      <c r="AE2488" s="57"/>
      <c r="AF2488" s="57"/>
    </row>
    <row r="2489" spans="1:32" x14ac:dyDescent="0.2">
      <c r="A2489" s="57"/>
      <c r="B2489" s="57"/>
      <c r="C2489" s="57"/>
      <c r="D2489" s="57"/>
      <c r="E2489" s="57"/>
      <c r="F2489" s="985"/>
      <c r="G2489" s="57"/>
      <c r="H2489" s="57"/>
      <c r="I2489" s="990"/>
      <c r="J2489" s="57"/>
      <c r="K2489" s="57"/>
      <c r="L2489" s="57"/>
      <c r="M2489" s="57"/>
      <c r="N2489" s="57"/>
      <c r="O2489" s="57"/>
      <c r="P2489" s="57"/>
      <c r="Q2489" s="57"/>
      <c r="R2489" s="57"/>
      <c r="S2489" s="57"/>
      <c r="T2489" s="57"/>
      <c r="U2489" s="57"/>
      <c r="V2489" s="57"/>
      <c r="W2489" s="57"/>
      <c r="X2489" s="57"/>
      <c r="Y2489" s="57"/>
      <c r="Z2489" s="57"/>
      <c r="AA2489" s="57"/>
      <c r="AB2489" s="57"/>
      <c r="AC2489" s="57"/>
      <c r="AD2489" s="57"/>
      <c r="AE2489" s="57"/>
      <c r="AF2489" s="57"/>
    </row>
    <row r="2490" spans="1:32" x14ac:dyDescent="0.2">
      <c r="A2490" s="57"/>
      <c r="B2490" s="57"/>
      <c r="C2490" s="57"/>
      <c r="D2490" s="57"/>
      <c r="E2490" s="57"/>
      <c r="F2490" s="985"/>
      <c r="G2490" s="57"/>
      <c r="H2490" s="57"/>
      <c r="I2490" s="990"/>
      <c r="J2490" s="57"/>
      <c r="K2490" s="57"/>
      <c r="L2490" s="57"/>
      <c r="M2490" s="57"/>
      <c r="N2490" s="57"/>
      <c r="O2490" s="57"/>
      <c r="P2490" s="57"/>
      <c r="Q2490" s="57"/>
      <c r="R2490" s="57"/>
      <c r="S2490" s="57"/>
      <c r="T2490" s="57"/>
      <c r="U2490" s="57"/>
      <c r="V2490" s="57"/>
      <c r="W2490" s="57"/>
      <c r="X2490" s="57"/>
      <c r="Y2490" s="57"/>
      <c r="Z2490" s="57"/>
      <c r="AA2490" s="57"/>
      <c r="AB2490" s="57"/>
      <c r="AC2490" s="57"/>
      <c r="AD2490" s="57"/>
      <c r="AE2490" s="57"/>
      <c r="AF2490" s="57"/>
    </row>
    <row r="2491" spans="1:32" x14ac:dyDescent="0.2">
      <c r="A2491" s="57"/>
      <c r="B2491" s="57"/>
      <c r="C2491" s="57"/>
      <c r="D2491" s="57"/>
      <c r="E2491" s="57"/>
      <c r="F2491" s="985"/>
      <c r="G2491" s="57"/>
      <c r="H2491" s="57"/>
      <c r="I2491" s="990"/>
      <c r="J2491" s="57"/>
      <c r="K2491" s="57"/>
      <c r="L2491" s="57"/>
      <c r="M2491" s="57"/>
      <c r="N2491" s="57"/>
      <c r="O2491" s="57"/>
      <c r="P2491" s="57"/>
      <c r="Q2491" s="57"/>
      <c r="R2491" s="57"/>
      <c r="S2491" s="57"/>
      <c r="T2491" s="57"/>
      <c r="U2491" s="57"/>
      <c r="V2491" s="57"/>
      <c r="W2491" s="57"/>
      <c r="X2491" s="57"/>
      <c r="Y2491" s="57"/>
      <c r="Z2491" s="57"/>
      <c r="AA2491" s="57"/>
      <c r="AB2491" s="57"/>
      <c r="AC2491" s="57"/>
      <c r="AD2491" s="57"/>
      <c r="AE2491" s="57"/>
      <c r="AF2491" s="57"/>
    </row>
    <row r="2492" spans="1:32" x14ac:dyDescent="0.2">
      <c r="A2492" s="57"/>
      <c r="B2492" s="57"/>
      <c r="C2492" s="57"/>
      <c r="D2492" s="57"/>
      <c r="E2492" s="57"/>
      <c r="F2492" s="985"/>
      <c r="G2492" s="57"/>
      <c r="H2492" s="57"/>
      <c r="I2492" s="990"/>
      <c r="J2492" s="57"/>
      <c r="K2492" s="57"/>
      <c r="L2492" s="57"/>
      <c r="M2492" s="57"/>
      <c r="N2492" s="57"/>
      <c r="O2492" s="57"/>
      <c r="P2492" s="57"/>
      <c r="Q2492" s="57"/>
      <c r="R2492" s="57"/>
      <c r="S2492" s="57"/>
      <c r="T2492" s="57"/>
      <c r="U2492" s="57"/>
      <c r="V2492" s="57"/>
      <c r="W2492" s="57"/>
      <c r="X2492" s="57"/>
      <c r="Y2492" s="57"/>
      <c r="Z2492" s="57"/>
      <c r="AA2492" s="57"/>
      <c r="AB2492" s="57"/>
      <c r="AC2492" s="57"/>
      <c r="AD2492" s="57"/>
      <c r="AE2492" s="57"/>
      <c r="AF2492" s="57"/>
    </row>
    <row r="2493" spans="1:32" x14ac:dyDescent="0.2">
      <c r="A2493" s="57"/>
      <c r="B2493" s="57"/>
      <c r="C2493" s="57"/>
      <c r="D2493" s="57"/>
      <c r="E2493" s="57"/>
      <c r="F2493" s="985"/>
      <c r="G2493" s="57"/>
      <c r="H2493" s="57"/>
      <c r="I2493" s="990"/>
      <c r="J2493" s="57"/>
      <c r="K2493" s="57"/>
      <c r="L2493" s="57"/>
      <c r="M2493" s="57"/>
      <c r="N2493" s="57"/>
      <c r="O2493" s="57"/>
      <c r="P2493" s="57"/>
      <c r="Q2493" s="57"/>
      <c r="R2493" s="57"/>
      <c r="S2493" s="57"/>
      <c r="T2493" s="57"/>
      <c r="U2493" s="57"/>
      <c r="V2493" s="57"/>
      <c r="W2493" s="57"/>
      <c r="X2493" s="57"/>
      <c r="Y2493" s="57"/>
      <c r="Z2493" s="57"/>
      <c r="AA2493" s="57"/>
      <c r="AB2493" s="57"/>
      <c r="AC2493" s="57"/>
      <c r="AD2493" s="57"/>
      <c r="AE2493" s="57"/>
      <c r="AF2493" s="57"/>
    </row>
    <row r="2494" spans="1:32" x14ac:dyDescent="0.2">
      <c r="A2494" s="57"/>
      <c r="B2494" s="57"/>
      <c r="C2494" s="57"/>
      <c r="D2494" s="57"/>
      <c r="E2494" s="57"/>
      <c r="F2494" s="985"/>
      <c r="G2494" s="57"/>
      <c r="H2494" s="57"/>
      <c r="I2494" s="990"/>
      <c r="J2494" s="57"/>
      <c r="K2494" s="57"/>
      <c r="L2494" s="57"/>
      <c r="M2494" s="57"/>
      <c r="N2494" s="57"/>
      <c r="O2494" s="57"/>
      <c r="P2494" s="57"/>
      <c r="Q2494" s="57"/>
      <c r="R2494" s="57"/>
      <c r="S2494" s="57"/>
      <c r="T2494" s="57"/>
      <c r="U2494" s="57"/>
      <c r="V2494" s="57"/>
      <c r="W2494" s="57"/>
      <c r="X2494" s="57"/>
      <c r="Y2494" s="57"/>
      <c r="Z2494" s="57"/>
      <c r="AA2494" s="57"/>
      <c r="AB2494" s="57"/>
      <c r="AC2494" s="57"/>
      <c r="AD2494" s="57"/>
      <c r="AE2494" s="57"/>
      <c r="AF2494" s="57"/>
    </row>
    <row r="2495" spans="1:32" x14ac:dyDescent="0.2">
      <c r="A2495" s="57"/>
      <c r="B2495" s="57"/>
      <c r="C2495" s="57"/>
      <c r="D2495" s="57"/>
      <c r="E2495" s="57"/>
      <c r="F2495" s="985"/>
      <c r="G2495" s="57"/>
      <c r="H2495" s="57"/>
      <c r="I2495" s="990"/>
      <c r="J2495" s="57"/>
      <c r="K2495" s="57"/>
      <c r="L2495" s="57"/>
      <c r="M2495" s="57"/>
      <c r="N2495" s="57"/>
      <c r="O2495" s="57"/>
      <c r="P2495" s="57"/>
      <c r="Q2495" s="57"/>
      <c r="R2495" s="57"/>
      <c r="S2495" s="57"/>
      <c r="T2495" s="57"/>
      <c r="U2495" s="57"/>
      <c r="V2495" s="57"/>
      <c r="W2495" s="57"/>
      <c r="X2495" s="57"/>
      <c r="Y2495" s="57"/>
      <c r="Z2495" s="57"/>
      <c r="AA2495" s="57"/>
      <c r="AB2495" s="57"/>
      <c r="AC2495" s="57"/>
      <c r="AD2495" s="57"/>
      <c r="AE2495" s="57"/>
      <c r="AF2495" s="57"/>
    </row>
    <row r="2496" spans="1:32" x14ac:dyDescent="0.2">
      <c r="A2496" s="57"/>
      <c r="B2496" s="57"/>
      <c r="C2496" s="57"/>
      <c r="D2496" s="57"/>
      <c r="E2496" s="57"/>
      <c r="F2496" s="985"/>
      <c r="G2496" s="57"/>
      <c r="H2496" s="57"/>
      <c r="I2496" s="990"/>
      <c r="J2496" s="57"/>
      <c r="K2496" s="57"/>
      <c r="L2496" s="57"/>
      <c r="M2496" s="57"/>
      <c r="N2496" s="57"/>
      <c r="O2496" s="57"/>
      <c r="P2496" s="57"/>
      <c r="Q2496" s="57"/>
      <c r="R2496" s="57"/>
      <c r="S2496" s="57"/>
      <c r="T2496" s="57"/>
      <c r="U2496" s="57"/>
      <c r="V2496" s="57"/>
      <c r="W2496" s="57"/>
      <c r="X2496" s="57"/>
      <c r="Y2496" s="57"/>
      <c r="Z2496" s="57"/>
      <c r="AA2496" s="57"/>
      <c r="AB2496" s="57"/>
      <c r="AC2496" s="57"/>
      <c r="AD2496" s="57"/>
      <c r="AE2496" s="57"/>
      <c r="AF2496" s="57"/>
    </row>
    <row r="2497" spans="1:32" x14ac:dyDescent="0.2">
      <c r="A2497" s="57"/>
      <c r="B2497" s="57"/>
      <c r="C2497" s="57"/>
      <c r="D2497" s="57"/>
      <c r="E2497" s="57"/>
      <c r="F2497" s="985"/>
      <c r="G2497" s="57"/>
      <c r="H2497" s="57"/>
      <c r="I2497" s="990"/>
      <c r="J2497" s="57"/>
      <c r="K2497" s="57"/>
      <c r="L2497" s="57"/>
      <c r="M2497" s="57"/>
      <c r="N2497" s="57"/>
      <c r="O2497" s="57"/>
      <c r="P2497" s="57"/>
      <c r="Q2497" s="57"/>
      <c r="R2497" s="57"/>
      <c r="S2497" s="57"/>
      <c r="T2497" s="57"/>
      <c r="U2497" s="57"/>
      <c r="V2497" s="57"/>
      <c r="W2497" s="57"/>
      <c r="X2497" s="57"/>
      <c r="Y2497" s="57"/>
      <c r="Z2497" s="57"/>
      <c r="AA2497" s="57"/>
      <c r="AB2497" s="57"/>
      <c r="AC2497" s="57"/>
      <c r="AD2497" s="57"/>
      <c r="AE2497" s="57"/>
      <c r="AF2497" s="57"/>
    </row>
    <row r="2498" spans="1:32" x14ac:dyDescent="0.2">
      <c r="A2498" s="57"/>
      <c r="B2498" s="57"/>
      <c r="C2498" s="57"/>
      <c r="D2498" s="57"/>
      <c r="E2498" s="57"/>
      <c r="F2498" s="985"/>
      <c r="G2498" s="57"/>
      <c r="H2498" s="57"/>
      <c r="I2498" s="990"/>
      <c r="J2498" s="57"/>
      <c r="K2498" s="57"/>
      <c r="L2498" s="57"/>
      <c r="M2498" s="57"/>
      <c r="N2498" s="57"/>
      <c r="O2498" s="57"/>
      <c r="P2498" s="57"/>
      <c r="Q2498" s="57"/>
      <c r="R2498" s="57"/>
      <c r="S2498" s="57"/>
      <c r="T2498" s="57"/>
      <c r="U2498" s="57"/>
      <c r="V2498" s="57"/>
      <c r="W2498" s="57"/>
      <c r="X2498" s="57"/>
      <c r="Y2498" s="57"/>
      <c r="Z2498" s="57"/>
      <c r="AA2498" s="57"/>
      <c r="AB2498" s="57"/>
      <c r="AC2498" s="57"/>
      <c r="AD2498" s="57"/>
      <c r="AE2498" s="57"/>
      <c r="AF2498" s="57"/>
    </row>
    <row r="2499" spans="1:32" x14ac:dyDescent="0.2">
      <c r="A2499" s="57"/>
      <c r="B2499" s="57"/>
      <c r="C2499" s="57"/>
      <c r="D2499" s="57"/>
      <c r="E2499" s="57"/>
      <c r="F2499" s="985"/>
      <c r="G2499" s="57"/>
      <c r="H2499" s="57"/>
      <c r="I2499" s="990"/>
      <c r="J2499" s="57"/>
      <c r="K2499" s="57"/>
      <c r="L2499" s="57"/>
      <c r="M2499" s="57"/>
      <c r="N2499" s="57"/>
      <c r="O2499" s="57"/>
      <c r="P2499" s="57"/>
      <c r="Q2499" s="57"/>
      <c r="R2499" s="57"/>
      <c r="S2499" s="57"/>
      <c r="T2499" s="57"/>
      <c r="U2499" s="57"/>
      <c r="V2499" s="57"/>
      <c r="W2499" s="57"/>
      <c r="X2499" s="57"/>
      <c r="Y2499" s="57"/>
      <c r="Z2499" s="57"/>
      <c r="AA2499" s="57"/>
      <c r="AB2499" s="57"/>
      <c r="AC2499" s="57"/>
      <c r="AD2499" s="57"/>
      <c r="AE2499" s="57"/>
      <c r="AF2499" s="57"/>
    </row>
    <row r="2500" spans="1:32" x14ac:dyDescent="0.2">
      <c r="A2500" s="57"/>
      <c r="B2500" s="57"/>
      <c r="C2500" s="57"/>
      <c r="D2500" s="57"/>
      <c r="E2500" s="57"/>
      <c r="F2500" s="985"/>
      <c r="G2500" s="57"/>
      <c r="H2500" s="57"/>
      <c r="I2500" s="990"/>
      <c r="J2500" s="57"/>
      <c r="K2500" s="57"/>
      <c r="L2500" s="57"/>
      <c r="M2500" s="57"/>
      <c r="N2500" s="57"/>
      <c r="O2500" s="57"/>
      <c r="P2500" s="57"/>
      <c r="Q2500" s="57"/>
      <c r="R2500" s="57"/>
      <c r="S2500" s="57"/>
      <c r="T2500" s="57"/>
      <c r="U2500" s="57"/>
      <c r="V2500" s="57"/>
      <c r="W2500" s="57"/>
      <c r="X2500" s="57"/>
      <c r="Y2500" s="57"/>
      <c r="Z2500" s="57"/>
      <c r="AA2500" s="57"/>
      <c r="AB2500" s="57"/>
      <c r="AC2500" s="57"/>
      <c r="AD2500" s="57"/>
      <c r="AE2500" s="57"/>
      <c r="AF2500" s="57"/>
    </row>
    <row r="2501" spans="1:32" x14ac:dyDescent="0.2">
      <c r="A2501" s="57"/>
      <c r="B2501" s="57"/>
      <c r="C2501" s="57"/>
      <c r="D2501" s="57"/>
      <c r="E2501" s="57"/>
      <c r="F2501" s="985"/>
      <c r="G2501" s="57"/>
      <c r="H2501" s="57"/>
      <c r="I2501" s="990"/>
      <c r="J2501" s="57"/>
      <c r="K2501" s="57"/>
      <c r="L2501" s="57"/>
      <c r="M2501" s="57"/>
      <c r="N2501" s="57"/>
      <c r="O2501" s="57"/>
      <c r="P2501" s="57"/>
      <c r="Q2501" s="57"/>
      <c r="R2501" s="57"/>
      <c r="S2501" s="57"/>
      <c r="T2501" s="57"/>
      <c r="U2501" s="57"/>
      <c r="V2501" s="57"/>
      <c r="W2501" s="57"/>
      <c r="X2501" s="57"/>
      <c r="Y2501" s="57"/>
      <c r="Z2501" s="57"/>
      <c r="AA2501" s="57"/>
      <c r="AB2501" s="57"/>
      <c r="AC2501" s="57"/>
      <c r="AD2501" s="57"/>
      <c r="AE2501" s="57"/>
      <c r="AF2501" s="57"/>
    </row>
    <row r="2502" spans="1:32" x14ac:dyDescent="0.2">
      <c r="A2502" s="57"/>
      <c r="B2502" s="57"/>
      <c r="C2502" s="57"/>
      <c r="D2502" s="57"/>
      <c r="E2502" s="57"/>
      <c r="F2502" s="985"/>
      <c r="G2502" s="57"/>
      <c r="H2502" s="57"/>
      <c r="I2502" s="990"/>
      <c r="J2502" s="57"/>
      <c r="K2502" s="57"/>
      <c r="L2502" s="57"/>
      <c r="M2502" s="57"/>
      <c r="N2502" s="57"/>
      <c r="O2502" s="57"/>
      <c r="P2502" s="57"/>
      <c r="Q2502" s="57"/>
      <c r="R2502" s="57"/>
      <c r="S2502" s="57"/>
      <c r="T2502" s="57"/>
      <c r="U2502" s="57"/>
      <c r="V2502" s="57"/>
      <c r="W2502" s="57"/>
      <c r="X2502" s="57"/>
      <c r="Y2502" s="57"/>
      <c r="Z2502" s="57"/>
      <c r="AA2502" s="57"/>
      <c r="AB2502" s="57"/>
      <c r="AC2502" s="57"/>
      <c r="AD2502" s="57"/>
      <c r="AE2502" s="57"/>
      <c r="AF2502" s="57"/>
    </row>
    <row r="2503" spans="1:32" x14ac:dyDescent="0.2">
      <c r="A2503" s="57"/>
      <c r="B2503" s="57"/>
      <c r="C2503" s="57"/>
      <c r="D2503" s="57"/>
      <c r="E2503" s="57"/>
      <c r="F2503" s="985"/>
      <c r="G2503" s="57"/>
      <c r="H2503" s="57"/>
      <c r="I2503" s="990"/>
      <c r="J2503" s="57"/>
      <c r="K2503" s="57"/>
      <c r="L2503" s="57"/>
      <c r="M2503" s="57"/>
      <c r="N2503" s="57"/>
      <c r="O2503" s="57"/>
      <c r="P2503" s="57"/>
      <c r="Q2503" s="57"/>
      <c r="R2503" s="57"/>
      <c r="S2503" s="57"/>
      <c r="T2503" s="57"/>
      <c r="U2503" s="57"/>
      <c r="V2503" s="57"/>
      <c r="W2503" s="57"/>
      <c r="X2503" s="57"/>
      <c r="Y2503" s="57"/>
      <c r="Z2503" s="57"/>
      <c r="AA2503" s="57"/>
      <c r="AB2503" s="57"/>
      <c r="AC2503" s="57"/>
      <c r="AD2503" s="57"/>
      <c r="AE2503" s="57"/>
      <c r="AF2503" s="57"/>
    </row>
    <row r="2504" spans="1:32" x14ac:dyDescent="0.2">
      <c r="A2504" s="57"/>
      <c r="B2504" s="57"/>
      <c r="C2504" s="57"/>
      <c r="D2504" s="57"/>
      <c r="E2504" s="57"/>
      <c r="F2504" s="985"/>
      <c r="G2504" s="57"/>
      <c r="H2504" s="57"/>
      <c r="I2504" s="990"/>
      <c r="J2504" s="57"/>
      <c r="K2504" s="57"/>
      <c r="L2504" s="57"/>
      <c r="M2504" s="57"/>
      <c r="N2504" s="57"/>
      <c r="O2504" s="57"/>
      <c r="P2504" s="57"/>
      <c r="Q2504" s="57"/>
      <c r="R2504" s="57"/>
      <c r="S2504" s="57"/>
      <c r="T2504" s="57"/>
      <c r="U2504" s="57"/>
      <c r="V2504" s="57"/>
      <c r="W2504" s="57"/>
      <c r="X2504" s="57"/>
      <c r="Y2504" s="57"/>
      <c r="Z2504" s="57"/>
      <c r="AA2504" s="57"/>
      <c r="AB2504" s="57"/>
      <c r="AC2504" s="57"/>
      <c r="AD2504" s="57"/>
      <c r="AE2504" s="57"/>
      <c r="AF2504" s="57"/>
    </row>
    <row r="2505" spans="1:32" x14ac:dyDescent="0.2">
      <c r="A2505" s="57"/>
      <c r="B2505" s="57"/>
      <c r="C2505" s="57"/>
      <c r="D2505" s="57"/>
      <c r="E2505" s="57"/>
      <c r="F2505" s="985"/>
      <c r="G2505" s="57"/>
      <c r="H2505" s="57"/>
      <c r="I2505" s="990"/>
      <c r="J2505" s="57"/>
      <c r="K2505" s="57"/>
      <c r="L2505" s="57"/>
      <c r="M2505" s="57"/>
      <c r="N2505" s="57"/>
      <c r="O2505" s="57"/>
      <c r="P2505" s="57"/>
      <c r="Q2505" s="57"/>
      <c r="R2505" s="57"/>
      <c r="S2505" s="57"/>
      <c r="T2505" s="57"/>
      <c r="U2505" s="57"/>
      <c r="V2505" s="57"/>
      <c r="W2505" s="57"/>
      <c r="X2505" s="57"/>
      <c r="Y2505" s="57"/>
      <c r="Z2505" s="57"/>
      <c r="AA2505" s="57"/>
      <c r="AB2505" s="57"/>
      <c r="AC2505" s="57"/>
      <c r="AD2505" s="57"/>
      <c r="AE2505" s="57"/>
      <c r="AF2505" s="57"/>
    </row>
    <row r="2506" spans="1:32" x14ac:dyDescent="0.2">
      <c r="A2506" s="57"/>
      <c r="B2506" s="57"/>
      <c r="C2506" s="57"/>
      <c r="D2506" s="57"/>
      <c r="E2506" s="57"/>
      <c r="F2506" s="985"/>
      <c r="G2506" s="57"/>
      <c r="H2506" s="57"/>
      <c r="I2506" s="990"/>
      <c r="J2506" s="57"/>
      <c r="K2506" s="57"/>
      <c r="L2506" s="57"/>
      <c r="M2506" s="57"/>
      <c r="N2506" s="57"/>
      <c r="O2506" s="57"/>
      <c r="P2506" s="57"/>
      <c r="Q2506" s="57"/>
      <c r="R2506" s="57"/>
      <c r="S2506" s="57"/>
      <c r="T2506" s="57"/>
      <c r="U2506" s="57"/>
      <c r="V2506" s="57"/>
      <c r="W2506" s="57"/>
      <c r="X2506" s="57"/>
      <c r="Y2506" s="57"/>
      <c r="Z2506" s="57"/>
      <c r="AA2506" s="57"/>
      <c r="AB2506" s="57"/>
      <c r="AC2506" s="57"/>
      <c r="AD2506" s="57"/>
      <c r="AE2506" s="57"/>
      <c r="AF2506" s="57"/>
    </row>
    <row r="2507" spans="1:32" x14ac:dyDescent="0.2">
      <c r="A2507" s="57"/>
      <c r="B2507" s="57"/>
      <c r="C2507" s="57"/>
      <c r="D2507" s="57"/>
      <c r="E2507" s="57"/>
      <c r="F2507" s="985"/>
      <c r="G2507" s="57"/>
      <c r="H2507" s="57"/>
      <c r="I2507" s="990"/>
      <c r="J2507" s="57"/>
      <c r="K2507" s="57"/>
      <c r="L2507" s="57"/>
      <c r="M2507" s="57"/>
      <c r="N2507" s="57"/>
      <c r="O2507" s="57"/>
      <c r="P2507" s="57"/>
      <c r="Q2507" s="57"/>
      <c r="R2507" s="57"/>
      <c r="S2507" s="57"/>
      <c r="T2507" s="57"/>
      <c r="U2507" s="57"/>
      <c r="V2507" s="57"/>
      <c r="W2507" s="57"/>
      <c r="X2507" s="57"/>
      <c r="Y2507" s="57"/>
      <c r="Z2507" s="57"/>
      <c r="AA2507" s="57"/>
      <c r="AB2507" s="57"/>
      <c r="AC2507" s="57"/>
      <c r="AD2507" s="57"/>
      <c r="AE2507" s="57"/>
      <c r="AF2507" s="57"/>
    </row>
    <row r="2508" spans="1:32" x14ac:dyDescent="0.2">
      <c r="A2508" s="57"/>
      <c r="B2508" s="57"/>
      <c r="C2508" s="57"/>
      <c r="D2508" s="57"/>
      <c r="E2508" s="57"/>
      <c r="F2508" s="985"/>
      <c r="G2508" s="57"/>
      <c r="H2508" s="57"/>
      <c r="I2508" s="990"/>
      <c r="J2508" s="57"/>
      <c r="K2508" s="57"/>
      <c r="L2508" s="57"/>
      <c r="M2508" s="57"/>
      <c r="N2508" s="57"/>
      <c r="O2508" s="57"/>
      <c r="P2508" s="57"/>
      <c r="Q2508" s="57"/>
      <c r="R2508" s="57"/>
      <c r="S2508" s="57"/>
      <c r="T2508" s="57"/>
      <c r="U2508" s="57"/>
      <c r="V2508" s="57"/>
      <c r="W2508" s="57"/>
      <c r="X2508" s="57"/>
      <c r="Y2508" s="57"/>
      <c r="Z2508" s="57"/>
      <c r="AA2508" s="57"/>
      <c r="AB2508" s="57"/>
      <c r="AC2508" s="57"/>
      <c r="AD2508" s="57"/>
      <c r="AE2508" s="57"/>
      <c r="AF2508" s="57"/>
    </row>
    <row r="2509" spans="1:32" x14ac:dyDescent="0.2">
      <c r="A2509" s="57"/>
      <c r="B2509" s="57"/>
      <c r="C2509" s="57"/>
      <c r="D2509" s="57"/>
      <c r="E2509" s="57"/>
      <c r="F2509" s="985"/>
      <c r="G2509" s="57"/>
      <c r="H2509" s="57"/>
      <c r="I2509" s="990"/>
      <c r="J2509" s="57"/>
      <c r="K2509" s="57"/>
      <c r="L2509" s="57"/>
      <c r="M2509" s="57"/>
      <c r="N2509" s="57"/>
      <c r="O2509" s="57"/>
      <c r="P2509" s="57"/>
      <c r="Q2509" s="57"/>
      <c r="R2509" s="57"/>
      <c r="S2509" s="57"/>
      <c r="T2509" s="57"/>
      <c r="U2509" s="57"/>
      <c r="V2509" s="57"/>
      <c r="W2509" s="57"/>
      <c r="X2509" s="57"/>
      <c r="Y2509" s="57"/>
      <c r="Z2509" s="57"/>
      <c r="AA2509" s="57"/>
      <c r="AB2509" s="57"/>
      <c r="AC2509" s="57"/>
      <c r="AD2509" s="57"/>
      <c r="AE2509" s="57"/>
      <c r="AF2509" s="57"/>
    </row>
    <row r="2510" spans="1:32" x14ac:dyDescent="0.2">
      <c r="A2510" s="57"/>
      <c r="B2510" s="57"/>
      <c r="C2510" s="57"/>
      <c r="D2510" s="57"/>
      <c r="E2510" s="57"/>
      <c r="F2510" s="985"/>
      <c r="G2510" s="57"/>
      <c r="H2510" s="57"/>
      <c r="I2510" s="990"/>
      <c r="J2510" s="57"/>
      <c r="K2510" s="57"/>
      <c r="L2510" s="57"/>
      <c r="M2510" s="57"/>
      <c r="N2510" s="57"/>
      <c r="O2510" s="57"/>
      <c r="P2510" s="57"/>
      <c r="Q2510" s="57"/>
      <c r="R2510" s="57"/>
      <c r="S2510" s="57"/>
      <c r="T2510" s="57"/>
      <c r="U2510" s="57"/>
      <c r="V2510" s="57"/>
      <c r="W2510" s="57"/>
      <c r="X2510" s="57"/>
      <c r="Y2510" s="57"/>
      <c r="Z2510" s="57"/>
      <c r="AA2510" s="57"/>
      <c r="AB2510" s="57"/>
      <c r="AC2510" s="57"/>
      <c r="AD2510" s="57"/>
      <c r="AE2510" s="57"/>
      <c r="AF2510" s="57"/>
    </row>
    <row r="2511" spans="1:32" x14ac:dyDescent="0.2">
      <c r="A2511" s="57"/>
      <c r="B2511" s="57"/>
      <c r="C2511" s="57"/>
      <c r="D2511" s="57"/>
      <c r="E2511" s="57"/>
      <c r="F2511" s="985"/>
      <c r="G2511" s="57"/>
      <c r="H2511" s="57"/>
      <c r="I2511" s="990"/>
      <c r="J2511" s="57"/>
      <c r="K2511" s="57"/>
      <c r="L2511" s="57"/>
      <c r="M2511" s="57"/>
      <c r="N2511" s="57"/>
      <c r="O2511" s="57"/>
      <c r="P2511" s="57"/>
      <c r="Q2511" s="57"/>
      <c r="R2511" s="57"/>
      <c r="S2511" s="57"/>
      <c r="T2511" s="57"/>
      <c r="U2511" s="57"/>
      <c r="V2511" s="57"/>
      <c r="W2511" s="57"/>
      <c r="X2511" s="57"/>
      <c r="Y2511" s="57"/>
      <c r="Z2511" s="57"/>
      <c r="AA2511" s="57"/>
      <c r="AB2511" s="57"/>
      <c r="AC2511" s="57"/>
      <c r="AD2511" s="57"/>
      <c r="AE2511" s="57"/>
      <c r="AF2511" s="57"/>
    </row>
    <row r="2512" spans="1:32" x14ac:dyDescent="0.2">
      <c r="A2512" s="57"/>
      <c r="B2512" s="57"/>
      <c r="C2512" s="57"/>
      <c r="D2512" s="57"/>
      <c r="E2512" s="57"/>
      <c r="F2512" s="985"/>
      <c r="G2512" s="57"/>
      <c r="H2512" s="57"/>
      <c r="I2512" s="990"/>
      <c r="J2512" s="57"/>
      <c r="K2512" s="57"/>
      <c r="L2512" s="57"/>
      <c r="M2512" s="57"/>
      <c r="N2512" s="57"/>
      <c r="O2512" s="57"/>
      <c r="P2512" s="57"/>
      <c r="Q2512" s="57"/>
      <c r="R2512" s="57"/>
      <c r="S2512" s="57"/>
      <c r="T2512" s="57"/>
      <c r="U2512" s="57"/>
      <c r="V2512" s="57"/>
      <c r="W2512" s="57"/>
      <c r="X2512" s="57"/>
      <c r="Y2512" s="57"/>
      <c r="Z2512" s="57"/>
      <c r="AA2512" s="57"/>
      <c r="AB2512" s="57"/>
      <c r="AC2512" s="57"/>
      <c r="AD2512" s="57"/>
      <c r="AE2512" s="57"/>
      <c r="AF2512" s="57"/>
    </row>
    <row r="2513" spans="1:32" x14ac:dyDescent="0.2">
      <c r="A2513" s="57"/>
      <c r="B2513" s="57"/>
      <c r="C2513" s="57"/>
      <c r="D2513" s="57"/>
      <c r="E2513" s="57"/>
      <c r="F2513" s="985"/>
      <c r="G2513" s="57"/>
      <c r="H2513" s="57"/>
      <c r="I2513" s="990"/>
      <c r="J2513" s="57"/>
      <c r="K2513" s="57"/>
      <c r="L2513" s="57"/>
      <c r="M2513" s="57"/>
      <c r="N2513" s="57"/>
      <c r="O2513" s="57"/>
      <c r="P2513" s="57"/>
      <c r="Q2513" s="57"/>
      <c r="R2513" s="57"/>
      <c r="S2513" s="57"/>
      <c r="T2513" s="57"/>
      <c r="U2513" s="57"/>
      <c r="V2513" s="57"/>
      <c r="W2513" s="57"/>
      <c r="X2513" s="57"/>
      <c r="Y2513" s="57"/>
      <c r="Z2513" s="57"/>
      <c r="AA2513" s="57"/>
      <c r="AB2513" s="57"/>
      <c r="AC2513" s="57"/>
      <c r="AD2513" s="57"/>
      <c r="AE2513" s="57"/>
      <c r="AF2513" s="57"/>
    </row>
    <row r="2514" spans="1:32" x14ac:dyDescent="0.2">
      <c r="A2514" s="57"/>
      <c r="B2514" s="57"/>
      <c r="C2514" s="57"/>
      <c r="D2514" s="57"/>
      <c r="E2514" s="57"/>
      <c r="F2514" s="985"/>
      <c r="G2514" s="57"/>
      <c r="H2514" s="57"/>
      <c r="I2514" s="990"/>
      <c r="J2514" s="57"/>
      <c r="K2514" s="57"/>
      <c r="L2514" s="57"/>
      <c r="M2514" s="57"/>
      <c r="N2514" s="57"/>
      <c r="O2514" s="57"/>
      <c r="P2514" s="57"/>
      <c r="Q2514" s="57"/>
      <c r="R2514" s="57"/>
      <c r="S2514" s="57"/>
      <c r="T2514" s="57"/>
      <c r="U2514" s="57"/>
      <c r="V2514" s="57"/>
      <c r="W2514" s="57"/>
      <c r="X2514" s="57"/>
      <c r="Y2514" s="57"/>
      <c r="Z2514" s="57"/>
      <c r="AA2514" s="57"/>
      <c r="AB2514" s="57"/>
      <c r="AC2514" s="57"/>
      <c r="AD2514" s="57"/>
      <c r="AE2514" s="57"/>
      <c r="AF2514" s="57"/>
    </row>
    <row r="2515" spans="1:32" x14ac:dyDescent="0.2">
      <c r="A2515" s="57"/>
      <c r="B2515" s="57"/>
      <c r="C2515" s="57"/>
      <c r="D2515" s="57"/>
      <c r="E2515" s="57"/>
      <c r="F2515" s="985"/>
      <c r="G2515" s="57"/>
      <c r="H2515" s="57"/>
      <c r="I2515" s="990"/>
      <c r="J2515" s="57"/>
      <c r="K2515" s="57"/>
      <c r="L2515" s="57"/>
      <c r="M2515" s="57"/>
      <c r="N2515" s="57"/>
      <c r="O2515" s="57"/>
      <c r="P2515" s="57"/>
      <c r="Q2515" s="57"/>
      <c r="R2515" s="57"/>
      <c r="S2515" s="57"/>
      <c r="T2515" s="57"/>
      <c r="U2515" s="57"/>
      <c r="V2515" s="57"/>
      <c r="W2515" s="57"/>
      <c r="X2515" s="57"/>
      <c r="Y2515" s="57"/>
      <c r="Z2515" s="57"/>
      <c r="AA2515" s="57"/>
      <c r="AB2515" s="57"/>
      <c r="AC2515" s="57"/>
      <c r="AD2515" s="57"/>
      <c r="AE2515" s="57"/>
      <c r="AF2515" s="57"/>
    </row>
    <row r="2516" spans="1:32" x14ac:dyDescent="0.2">
      <c r="A2516" s="57"/>
      <c r="B2516" s="57"/>
      <c r="C2516" s="57"/>
      <c r="D2516" s="57"/>
      <c r="E2516" s="57"/>
      <c r="F2516" s="985"/>
      <c r="G2516" s="57"/>
      <c r="H2516" s="57"/>
      <c r="I2516" s="990"/>
      <c r="J2516" s="57"/>
      <c r="K2516" s="57"/>
      <c r="L2516" s="57"/>
      <c r="M2516" s="57"/>
      <c r="N2516" s="57"/>
      <c r="O2516" s="57"/>
      <c r="P2516" s="57"/>
      <c r="Q2516" s="57"/>
      <c r="R2516" s="57"/>
      <c r="S2516" s="57"/>
      <c r="T2516" s="57"/>
      <c r="U2516" s="57"/>
      <c r="V2516" s="57"/>
      <c r="W2516" s="57"/>
      <c r="X2516" s="57"/>
      <c r="Y2516" s="57"/>
      <c r="Z2516" s="57"/>
      <c r="AA2516" s="57"/>
      <c r="AB2516" s="57"/>
      <c r="AC2516" s="57"/>
      <c r="AD2516" s="57"/>
      <c r="AE2516" s="57"/>
      <c r="AF2516" s="57"/>
    </row>
    <row r="2517" spans="1:32" x14ac:dyDescent="0.2">
      <c r="A2517" s="57"/>
      <c r="B2517" s="57"/>
      <c r="C2517" s="57"/>
      <c r="D2517" s="57"/>
      <c r="E2517" s="57"/>
      <c r="F2517" s="985"/>
      <c r="G2517" s="57"/>
      <c r="H2517" s="57"/>
      <c r="I2517" s="990"/>
      <c r="J2517" s="57"/>
      <c r="K2517" s="57"/>
      <c r="L2517" s="57"/>
      <c r="M2517" s="57"/>
      <c r="N2517" s="57"/>
      <c r="O2517" s="57"/>
      <c r="P2517" s="57"/>
      <c r="Q2517" s="57"/>
      <c r="R2517" s="57"/>
      <c r="S2517" s="57"/>
      <c r="T2517" s="57"/>
      <c r="U2517" s="57"/>
      <c r="V2517" s="57"/>
      <c r="W2517" s="57"/>
      <c r="X2517" s="57"/>
      <c r="Y2517" s="57"/>
      <c r="Z2517" s="57"/>
      <c r="AA2517" s="57"/>
      <c r="AB2517" s="57"/>
      <c r="AC2517" s="57"/>
      <c r="AD2517" s="57"/>
      <c r="AE2517" s="57"/>
      <c r="AF2517" s="57"/>
    </row>
    <row r="2518" spans="1:32" x14ac:dyDescent="0.2">
      <c r="A2518" s="57"/>
      <c r="B2518" s="57"/>
      <c r="C2518" s="57"/>
      <c r="D2518" s="57"/>
      <c r="E2518" s="57"/>
      <c r="F2518" s="985"/>
      <c r="G2518" s="57"/>
      <c r="H2518" s="57"/>
      <c r="I2518" s="990"/>
      <c r="J2518" s="57"/>
      <c r="K2518" s="57"/>
      <c r="L2518" s="57"/>
      <c r="M2518" s="57"/>
      <c r="N2518" s="57"/>
      <c r="O2518" s="57"/>
      <c r="P2518" s="57"/>
      <c r="Q2518" s="57"/>
      <c r="R2518" s="57"/>
      <c r="S2518" s="57"/>
      <c r="T2518" s="57"/>
      <c r="U2518" s="57"/>
      <c r="V2518" s="57"/>
      <c r="W2518" s="57"/>
      <c r="X2518" s="57"/>
      <c r="Y2518" s="57"/>
      <c r="Z2518" s="57"/>
      <c r="AA2518" s="57"/>
      <c r="AB2518" s="57"/>
      <c r="AC2518" s="57"/>
      <c r="AD2518" s="57"/>
      <c r="AE2518" s="57"/>
      <c r="AF2518" s="57"/>
    </row>
    <row r="2519" spans="1:32" x14ac:dyDescent="0.2">
      <c r="A2519" s="57"/>
      <c r="B2519" s="57"/>
      <c r="C2519" s="57"/>
      <c r="D2519" s="57"/>
      <c r="E2519" s="57"/>
      <c r="F2519" s="985"/>
      <c r="G2519" s="57"/>
      <c r="H2519" s="57"/>
      <c r="I2519" s="990"/>
      <c r="J2519" s="57"/>
      <c r="K2519" s="57"/>
      <c r="L2519" s="57"/>
      <c r="M2519" s="57"/>
      <c r="N2519" s="57"/>
      <c r="O2519" s="57"/>
      <c r="P2519" s="57"/>
      <c r="Q2519" s="57"/>
      <c r="R2519" s="57"/>
      <c r="S2519" s="57"/>
      <c r="T2519" s="57"/>
      <c r="U2519" s="57"/>
      <c r="V2519" s="57"/>
      <c r="W2519" s="57"/>
      <c r="X2519" s="57"/>
      <c r="Y2519" s="57"/>
      <c r="Z2519" s="57"/>
      <c r="AA2519" s="57"/>
      <c r="AB2519" s="57"/>
      <c r="AC2519" s="57"/>
      <c r="AD2519" s="57"/>
      <c r="AE2519" s="57"/>
      <c r="AF2519" s="57"/>
    </row>
    <row r="2520" spans="1:32" x14ac:dyDescent="0.2">
      <c r="A2520" s="57"/>
      <c r="B2520" s="57"/>
      <c r="C2520" s="57"/>
      <c r="D2520" s="57"/>
      <c r="E2520" s="57"/>
      <c r="F2520" s="985"/>
      <c r="G2520" s="57"/>
      <c r="H2520" s="57"/>
      <c r="I2520" s="990"/>
      <c r="J2520" s="57"/>
      <c r="K2520" s="57"/>
      <c r="L2520" s="57"/>
      <c r="M2520" s="57"/>
      <c r="N2520" s="57"/>
      <c r="O2520" s="57"/>
      <c r="P2520" s="57"/>
      <c r="Q2520" s="57"/>
      <c r="R2520" s="57"/>
      <c r="S2520" s="57"/>
      <c r="T2520" s="57"/>
      <c r="U2520" s="57"/>
      <c r="V2520" s="57"/>
      <c r="W2520" s="57"/>
      <c r="X2520" s="57"/>
      <c r="Y2520" s="57"/>
      <c r="Z2520" s="57"/>
      <c r="AA2520" s="57"/>
      <c r="AB2520" s="57"/>
      <c r="AC2520" s="57"/>
      <c r="AD2520" s="57"/>
      <c r="AE2520" s="57"/>
      <c r="AF2520" s="57"/>
    </row>
    <row r="2521" spans="1:32" x14ac:dyDescent="0.2">
      <c r="A2521" s="57"/>
      <c r="B2521" s="57"/>
      <c r="C2521" s="57"/>
      <c r="D2521" s="57"/>
      <c r="E2521" s="57"/>
      <c r="F2521" s="985"/>
      <c r="G2521" s="57"/>
      <c r="H2521" s="57"/>
      <c r="I2521" s="990"/>
      <c r="J2521" s="57"/>
      <c r="K2521" s="57"/>
      <c r="L2521" s="57"/>
      <c r="M2521" s="57"/>
      <c r="N2521" s="57"/>
      <c r="O2521" s="57"/>
      <c r="P2521" s="57"/>
      <c r="Q2521" s="57"/>
      <c r="R2521" s="57"/>
      <c r="S2521" s="57"/>
      <c r="T2521" s="57"/>
      <c r="U2521" s="57"/>
      <c r="V2521" s="57"/>
      <c r="W2521" s="57"/>
      <c r="X2521" s="57"/>
      <c r="Y2521" s="57"/>
      <c r="Z2521" s="57"/>
      <c r="AA2521" s="57"/>
      <c r="AB2521" s="57"/>
      <c r="AC2521" s="57"/>
      <c r="AD2521" s="57"/>
      <c r="AE2521" s="57"/>
      <c r="AF2521" s="57"/>
    </row>
    <row r="2522" spans="1:32" x14ac:dyDescent="0.2">
      <c r="A2522" s="57"/>
      <c r="B2522" s="57"/>
      <c r="C2522" s="57"/>
      <c r="D2522" s="57"/>
      <c r="E2522" s="57"/>
      <c r="F2522" s="985"/>
      <c r="G2522" s="57"/>
      <c r="H2522" s="57"/>
      <c r="I2522" s="990"/>
      <c r="J2522" s="57"/>
      <c r="K2522" s="57"/>
      <c r="L2522" s="57"/>
      <c r="M2522" s="57"/>
      <c r="N2522" s="57"/>
      <c r="O2522" s="57"/>
      <c r="P2522" s="57"/>
      <c r="Q2522" s="57"/>
      <c r="R2522" s="57"/>
      <c r="S2522" s="57"/>
      <c r="T2522" s="57"/>
      <c r="U2522" s="57"/>
      <c r="V2522" s="57"/>
      <c r="W2522" s="57"/>
      <c r="X2522" s="57"/>
      <c r="Y2522" s="57"/>
      <c r="Z2522" s="57"/>
      <c r="AA2522" s="57"/>
      <c r="AB2522" s="57"/>
      <c r="AC2522" s="57"/>
      <c r="AD2522" s="57"/>
      <c r="AE2522" s="57"/>
      <c r="AF2522" s="57"/>
    </row>
    <row r="2523" spans="1:32" x14ac:dyDescent="0.2">
      <c r="A2523" s="57"/>
      <c r="B2523" s="57"/>
      <c r="C2523" s="57"/>
      <c r="D2523" s="57"/>
      <c r="E2523" s="57"/>
      <c r="F2523" s="985"/>
      <c r="G2523" s="57"/>
      <c r="H2523" s="57"/>
      <c r="I2523" s="990"/>
      <c r="J2523" s="57"/>
      <c r="K2523" s="57"/>
      <c r="L2523" s="57"/>
      <c r="M2523" s="57"/>
      <c r="N2523" s="57"/>
      <c r="O2523" s="57"/>
      <c r="P2523" s="57"/>
      <c r="Q2523" s="57"/>
      <c r="R2523" s="57"/>
      <c r="S2523" s="57"/>
      <c r="T2523" s="57"/>
      <c r="U2523" s="57"/>
      <c r="V2523" s="57"/>
      <c r="W2523" s="57"/>
      <c r="X2523" s="57"/>
      <c r="Y2523" s="57"/>
      <c r="Z2523" s="57"/>
      <c r="AA2523" s="57"/>
      <c r="AB2523" s="57"/>
      <c r="AC2523" s="57"/>
      <c r="AD2523" s="57"/>
      <c r="AE2523" s="57"/>
      <c r="AF2523" s="57"/>
    </row>
    <row r="2524" spans="1:32" x14ac:dyDescent="0.2">
      <c r="A2524" s="57"/>
      <c r="B2524" s="57"/>
      <c r="C2524" s="57"/>
      <c r="D2524" s="57"/>
      <c r="E2524" s="57"/>
      <c r="F2524" s="985"/>
      <c r="G2524" s="57"/>
      <c r="H2524" s="57"/>
      <c r="I2524" s="990"/>
      <c r="J2524" s="57"/>
      <c r="K2524" s="57"/>
      <c r="L2524" s="57"/>
      <c r="M2524" s="57"/>
      <c r="N2524" s="57"/>
      <c r="O2524" s="57"/>
      <c r="P2524" s="57"/>
      <c r="Q2524" s="57"/>
      <c r="R2524" s="57"/>
      <c r="S2524" s="57"/>
      <c r="T2524" s="57"/>
      <c r="U2524" s="57"/>
      <c r="V2524" s="57"/>
      <c r="W2524" s="57"/>
      <c r="X2524" s="57"/>
      <c r="Y2524" s="57"/>
      <c r="Z2524" s="57"/>
      <c r="AA2524" s="57"/>
      <c r="AB2524" s="57"/>
      <c r="AC2524" s="57"/>
      <c r="AD2524" s="57"/>
      <c r="AE2524" s="57"/>
      <c r="AF2524" s="57"/>
    </row>
    <row r="2525" spans="1:32" x14ac:dyDescent="0.2">
      <c r="A2525" s="57"/>
      <c r="B2525" s="57"/>
      <c r="C2525" s="57"/>
      <c r="D2525" s="57"/>
      <c r="E2525" s="57"/>
      <c r="F2525" s="985"/>
      <c r="G2525" s="57"/>
      <c r="H2525" s="57"/>
      <c r="I2525" s="990"/>
      <c r="J2525" s="57"/>
      <c r="K2525" s="57"/>
      <c r="L2525" s="57"/>
      <c r="M2525" s="57"/>
      <c r="N2525" s="57"/>
      <c r="O2525" s="57"/>
      <c r="P2525" s="57"/>
      <c r="Q2525" s="57"/>
      <c r="R2525" s="57"/>
      <c r="S2525" s="57"/>
      <c r="T2525" s="57"/>
      <c r="U2525" s="57"/>
      <c r="V2525" s="57"/>
      <c r="W2525" s="57"/>
      <c r="X2525" s="57"/>
      <c r="Y2525" s="57"/>
      <c r="Z2525" s="57"/>
      <c r="AA2525" s="57"/>
      <c r="AB2525" s="57"/>
      <c r="AC2525" s="57"/>
      <c r="AD2525" s="57"/>
      <c r="AE2525" s="57"/>
      <c r="AF2525" s="57"/>
    </row>
    <row r="2526" spans="1:32" x14ac:dyDescent="0.2">
      <c r="A2526" s="57"/>
      <c r="B2526" s="57"/>
      <c r="C2526" s="57"/>
      <c r="D2526" s="57"/>
      <c r="E2526" s="57"/>
      <c r="F2526" s="985"/>
      <c r="G2526" s="57"/>
      <c r="H2526" s="57"/>
      <c r="I2526" s="990"/>
      <c r="J2526" s="57"/>
      <c r="K2526" s="57"/>
      <c r="L2526" s="57"/>
      <c r="M2526" s="57"/>
      <c r="N2526" s="57"/>
      <c r="O2526" s="57"/>
      <c r="P2526" s="57"/>
      <c r="Q2526" s="57"/>
      <c r="R2526" s="57"/>
      <c r="S2526" s="57"/>
      <c r="T2526" s="57"/>
      <c r="U2526" s="57"/>
      <c r="V2526" s="57"/>
      <c r="W2526" s="57"/>
      <c r="X2526" s="57"/>
      <c r="Y2526" s="57"/>
      <c r="Z2526" s="57"/>
      <c r="AA2526" s="57"/>
      <c r="AB2526" s="57"/>
      <c r="AC2526" s="57"/>
      <c r="AD2526" s="57"/>
      <c r="AE2526" s="57"/>
      <c r="AF2526" s="57"/>
    </row>
    <row r="2527" spans="1:32" x14ac:dyDescent="0.2">
      <c r="A2527" s="57"/>
      <c r="B2527" s="57"/>
      <c r="C2527" s="57"/>
      <c r="D2527" s="57"/>
      <c r="E2527" s="57"/>
      <c r="F2527" s="985"/>
      <c r="G2527" s="57"/>
      <c r="H2527" s="57"/>
      <c r="I2527" s="990"/>
      <c r="J2527" s="57"/>
      <c r="K2527" s="57"/>
      <c r="L2527" s="57"/>
      <c r="M2527" s="57"/>
      <c r="N2527" s="57"/>
      <c r="O2527" s="57"/>
      <c r="P2527" s="57"/>
      <c r="Q2527" s="57"/>
      <c r="R2527" s="57"/>
      <c r="S2527" s="57"/>
      <c r="T2527" s="57"/>
      <c r="U2527" s="57"/>
      <c r="V2527" s="57"/>
      <c r="W2527" s="57"/>
      <c r="X2527" s="57"/>
      <c r="Y2527" s="57"/>
      <c r="Z2527" s="57"/>
      <c r="AA2527" s="57"/>
      <c r="AB2527" s="57"/>
      <c r="AC2527" s="57"/>
      <c r="AD2527" s="57"/>
      <c r="AE2527" s="57"/>
      <c r="AF2527" s="57"/>
    </row>
    <row r="2528" spans="1:32" x14ac:dyDescent="0.2">
      <c r="A2528" s="57"/>
      <c r="B2528" s="57"/>
      <c r="C2528" s="57"/>
      <c r="D2528" s="57"/>
      <c r="E2528" s="57"/>
      <c r="F2528" s="985"/>
      <c r="G2528" s="57"/>
      <c r="H2528" s="57"/>
      <c r="I2528" s="990"/>
      <c r="J2528" s="57"/>
      <c r="K2528" s="57"/>
      <c r="L2528" s="57"/>
      <c r="M2528" s="57"/>
      <c r="N2528" s="57"/>
      <c r="O2528" s="57"/>
      <c r="P2528" s="57"/>
      <c r="Q2528" s="57"/>
      <c r="R2528" s="57"/>
      <c r="S2528" s="57"/>
      <c r="T2528" s="57"/>
      <c r="U2528" s="57"/>
      <c r="V2528" s="57"/>
      <c r="W2528" s="57"/>
      <c r="X2528" s="57"/>
      <c r="Y2528" s="57"/>
      <c r="Z2528" s="57"/>
      <c r="AA2528" s="57"/>
      <c r="AB2528" s="57"/>
      <c r="AC2528" s="57"/>
      <c r="AD2528" s="57"/>
      <c r="AE2528" s="57"/>
      <c r="AF2528" s="57"/>
    </row>
    <row r="2529" spans="1:32" x14ac:dyDescent="0.2">
      <c r="A2529" s="57"/>
      <c r="B2529" s="57"/>
      <c r="C2529" s="57"/>
      <c r="D2529" s="57"/>
      <c r="E2529" s="57"/>
      <c r="F2529" s="985"/>
      <c r="G2529" s="57"/>
      <c r="H2529" s="57"/>
      <c r="I2529" s="990"/>
      <c r="J2529" s="57"/>
      <c r="K2529" s="57"/>
      <c r="L2529" s="57"/>
      <c r="M2529" s="57"/>
      <c r="N2529" s="57"/>
      <c r="O2529" s="57"/>
      <c r="P2529" s="57"/>
      <c r="Q2529" s="57"/>
      <c r="R2529" s="57"/>
      <c r="S2529" s="57"/>
      <c r="T2529" s="57"/>
      <c r="U2529" s="57"/>
      <c r="V2529" s="57"/>
      <c r="W2529" s="57"/>
      <c r="X2529" s="57"/>
      <c r="Y2529" s="57"/>
      <c r="Z2529" s="57"/>
      <c r="AA2529" s="57"/>
      <c r="AB2529" s="57"/>
      <c r="AC2529" s="57"/>
      <c r="AD2529" s="57"/>
      <c r="AE2529" s="57"/>
      <c r="AF2529" s="57"/>
    </row>
    <row r="2530" spans="1:32" x14ac:dyDescent="0.2">
      <c r="A2530" s="57"/>
      <c r="B2530" s="57"/>
      <c r="C2530" s="57"/>
      <c r="D2530" s="57"/>
      <c r="E2530" s="57"/>
      <c r="F2530" s="985"/>
      <c r="G2530" s="57"/>
      <c r="H2530" s="57"/>
      <c r="I2530" s="990"/>
      <c r="J2530" s="57"/>
      <c r="K2530" s="57"/>
      <c r="L2530" s="57"/>
      <c r="M2530" s="57"/>
      <c r="N2530" s="57"/>
      <c r="O2530" s="57"/>
      <c r="P2530" s="57"/>
      <c r="Q2530" s="57"/>
      <c r="R2530" s="57"/>
      <c r="S2530" s="57"/>
      <c r="T2530" s="57"/>
      <c r="U2530" s="57"/>
      <c r="V2530" s="57"/>
      <c r="W2530" s="57"/>
      <c r="X2530" s="57"/>
      <c r="Y2530" s="57"/>
      <c r="Z2530" s="57"/>
      <c r="AA2530" s="57"/>
      <c r="AB2530" s="57"/>
      <c r="AC2530" s="57"/>
      <c r="AD2530" s="57"/>
      <c r="AE2530" s="57"/>
      <c r="AF2530" s="57"/>
    </row>
    <row r="2531" spans="1:32" x14ac:dyDescent="0.2">
      <c r="A2531" s="57"/>
      <c r="B2531" s="57"/>
      <c r="C2531" s="57"/>
      <c r="D2531" s="57"/>
      <c r="E2531" s="57"/>
      <c r="F2531" s="985"/>
      <c r="G2531" s="57"/>
      <c r="H2531" s="57"/>
      <c r="I2531" s="990"/>
      <c r="J2531" s="57"/>
      <c r="K2531" s="57"/>
      <c r="L2531" s="57"/>
      <c r="M2531" s="57"/>
      <c r="N2531" s="57"/>
      <c r="O2531" s="57"/>
      <c r="P2531" s="57"/>
      <c r="Q2531" s="57"/>
      <c r="R2531" s="57"/>
      <c r="S2531" s="57"/>
      <c r="T2531" s="57"/>
      <c r="U2531" s="57"/>
      <c r="V2531" s="57"/>
      <c r="W2531" s="57"/>
      <c r="X2531" s="57"/>
      <c r="Y2531" s="57"/>
      <c r="Z2531" s="57"/>
      <c r="AA2531" s="57"/>
      <c r="AB2531" s="57"/>
      <c r="AC2531" s="57"/>
      <c r="AD2531" s="57"/>
      <c r="AE2531" s="57"/>
      <c r="AF2531" s="57"/>
    </row>
    <row r="2532" spans="1:32" x14ac:dyDescent="0.2">
      <c r="A2532" s="57"/>
      <c r="B2532" s="57"/>
      <c r="C2532" s="57"/>
      <c r="D2532" s="57"/>
      <c r="E2532" s="57"/>
      <c r="F2532" s="985"/>
      <c r="G2532" s="57"/>
      <c r="H2532" s="57"/>
      <c r="I2532" s="990"/>
      <c r="J2532" s="57"/>
      <c r="K2532" s="57"/>
      <c r="L2532" s="57"/>
      <c r="M2532" s="57"/>
      <c r="N2532" s="57"/>
      <c r="O2532" s="57"/>
      <c r="P2532" s="57"/>
      <c r="Q2532" s="57"/>
      <c r="R2532" s="57"/>
      <c r="S2532" s="57"/>
      <c r="T2532" s="57"/>
      <c r="U2532" s="57"/>
      <c r="V2532" s="57"/>
      <c r="W2532" s="57"/>
      <c r="X2532" s="57"/>
      <c r="Y2532" s="57"/>
      <c r="Z2532" s="57"/>
      <c r="AA2532" s="57"/>
      <c r="AB2532" s="57"/>
      <c r="AC2532" s="57"/>
      <c r="AD2532" s="57"/>
      <c r="AE2532" s="57"/>
      <c r="AF2532" s="57"/>
    </row>
    <row r="2533" spans="1:32" x14ac:dyDescent="0.2">
      <c r="A2533" s="57"/>
      <c r="B2533" s="57"/>
      <c r="C2533" s="57"/>
      <c r="D2533" s="57"/>
      <c r="E2533" s="57"/>
      <c r="F2533" s="985"/>
      <c r="G2533" s="57"/>
      <c r="H2533" s="57"/>
      <c r="I2533" s="990"/>
      <c r="J2533" s="57"/>
      <c r="K2533" s="57"/>
      <c r="L2533" s="57"/>
      <c r="M2533" s="57"/>
      <c r="N2533" s="57"/>
      <c r="O2533" s="57"/>
      <c r="P2533" s="57"/>
      <c r="Q2533" s="57"/>
      <c r="R2533" s="57"/>
      <c r="S2533" s="57"/>
      <c r="T2533" s="57"/>
      <c r="U2533" s="57"/>
      <c r="V2533" s="57"/>
      <c r="W2533" s="57"/>
      <c r="X2533" s="57"/>
      <c r="Y2533" s="57"/>
      <c r="Z2533" s="57"/>
      <c r="AA2533" s="57"/>
      <c r="AB2533" s="57"/>
      <c r="AC2533" s="57"/>
      <c r="AD2533" s="57"/>
      <c r="AE2533" s="57"/>
      <c r="AF2533" s="57"/>
    </row>
    <row r="2534" spans="1:32" x14ac:dyDescent="0.2">
      <c r="A2534" s="57"/>
      <c r="B2534" s="57"/>
      <c r="C2534" s="57"/>
      <c r="D2534" s="57"/>
      <c r="E2534" s="57"/>
      <c r="F2534" s="985"/>
      <c r="G2534" s="57"/>
      <c r="H2534" s="57"/>
      <c r="I2534" s="990"/>
      <c r="J2534" s="57"/>
      <c r="K2534" s="57"/>
      <c r="L2534" s="57"/>
      <c r="M2534" s="57"/>
      <c r="N2534" s="57"/>
      <c r="O2534" s="57"/>
      <c r="P2534" s="57"/>
      <c r="Q2534" s="57"/>
      <c r="R2534" s="57"/>
      <c r="S2534" s="57"/>
      <c r="T2534" s="57"/>
      <c r="U2534" s="57"/>
      <c r="V2534" s="57"/>
      <c r="W2534" s="57"/>
      <c r="X2534" s="57"/>
      <c r="Y2534" s="57"/>
      <c r="Z2534" s="57"/>
      <c r="AA2534" s="57"/>
      <c r="AB2534" s="57"/>
      <c r="AC2534" s="57"/>
      <c r="AD2534" s="57"/>
      <c r="AE2534" s="57"/>
      <c r="AF2534" s="57"/>
    </row>
    <row r="2535" spans="1:32" x14ac:dyDescent="0.2">
      <c r="A2535" s="57"/>
      <c r="B2535" s="57"/>
      <c r="C2535" s="57"/>
      <c r="D2535" s="57"/>
      <c r="E2535" s="57"/>
      <c r="F2535" s="985"/>
      <c r="G2535" s="57"/>
      <c r="H2535" s="57"/>
      <c r="I2535" s="990"/>
      <c r="J2535" s="57"/>
      <c r="K2535" s="57"/>
      <c r="L2535" s="57"/>
      <c r="M2535" s="57"/>
      <c r="N2535" s="57"/>
      <c r="O2535" s="57"/>
      <c r="P2535" s="57"/>
      <c r="Q2535" s="57"/>
      <c r="R2535" s="57"/>
      <c r="S2535" s="57"/>
      <c r="T2535" s="57"/>
      <c r="U2535" s="57"/>
      <c r="V2535" s="57"/>
      <c r="W2535" s="57"/>
      <c r="X2535" s="57"/>
      <c r="Y2535" s="57"/>
      <c r="Z2535" s="57"/>
      <c r="AA2535" s="57"/>
      <c r="AB2535" s="57"/>
      <c r="AC2535" s="57"/>
      <c r="AD2535" s="57"/>
      <c r="AE2535" s="57"/>
      <c r="AF2535" s="57"/>
    </row>
    <row r="2536" spans="1:32" x14ac:dyDescent="0.2">
      <c r="A2536" s="57"/>
      <c r="B2536" s="57"/>
      <c r="C2536" s="57"/>
      <c r="D2536" s="57"/>
      <c r="E2536" s="57"/>
      <c r="F2536" s="985"/>
      <c r="G2536" s="57"/>
      <c r="H2536" s="57"/>
      <c r="I2536" s="990"/>
      <c r="J2536" s="57"/>
      <c r="K2536" s="57"/>
      <c r="L2536" s="57"/>
      <c r="M2536" s="57"/>
      <c r="N2536" s="57"/>
      <c r="O2536" s="57"/>
      <c r="P2536" s="57"/>
      <c r="Q2536" s="57"/>
      <c r="R2536" s="57"/>
      <c r="S2536" s="57"/>
      <c r="T2536" s="57"/>
      <c r="U2536" s="57"/>
      <c r="V2536" s="57"/>
      <c r="W2536" s="57"/>
      <c r="X2536" s="57"/>
      <c r="Y2536" s="57"/>
      <c r="Z2536" s="57"/>
      <c r="AA2536" s="57"/>
      <c r="AB2536" s="57"/>
      <c r="AC2536" s="57"/>
      <c r="AD2536" s="57"/>
      <c r="AE2536" s="57"/>
      <c r="AF2536" s="57"/>
    </row>
    <row r="2537" spans="1:32" x14ac:dyDescent="0.2">
      <c r="A2537" s="57"/>
      <c r="B2537" s="57"/>
      <c r="C2537" s="57"/>
      <c r="D2537" s="57"/>
      <c r="E2537" s="57"/>
      <c r="F2537" s="985"/>
      <c r="G2537" s="57"/>
      <c r="H2537" s="57"/>
      <c r="I2537" s="990"/>
      <c r="J2537" s="57"/>
      <c r="K2537" s="57"/>
      <c r="L2537" s="57"/>
      <c r="M2537" s="57"/>
      <c r="N2537" s="57"/>
      <c r="O2537" s="57"/>
      <c r="P2537" s="57"/>
      <c r="Q2537" s="57"/>
      <c r="R2537" s="57"/>
      <c r="S2537" s="57"/>
      <c r="T2537" s="57"/>
      <c r="U2537" s="57"/>
      <c r="V2537" s="57"/>
      <c r="W2537" s="57"/>
      <c r="X2537" s="57"/>
      <c r="Y2537" s="57"/>
      <c r="Z2537" s="57"/>
      <c r="AA2537" s="57"/>
      <c r="AB2537" s="57"/>
      <c r="AC2537" s="57"/>
      <c r="AD2537" s="57"/>
      <c r="AE2537" s="57"/>
      <c r="AF2537" s="57"/>
    </row>
    <row r="2538" spans="1:32" x14ac:dyDescent="0.2">
      <c r="A2538" s="57"/>
      <c r="B2538" s="57"/>
      <c r="C2538" s="57"/>
      <c r="D2538" s="57"/>
      <c r="E2538" s="57"/>
      <c r="F2538" s="985"/>
      <c r="G2538" s="57"/>
      <c r="H2538" s="57"/>
      <c r="I2538" s="990"/>
      <c r="J2538" s="57"/>
      <c r="K2538" s="57"/>
      <c r="L2538" s="57"/>
      <c r="M2538" s="57"/>
      <c r="N2538" s="57"/>
      <c r="O2538" s="57"/>
      <c r="P2538" s="57"/>
      <c r="Q2538" s="57"/>
      <c r="R2538" s="57"/>
      <c r="S2538" s="57"/>
      <c r="T2538" s="57"/>
      <c r="U2538" s="57"/>
      <c r="V2538" s="57"/>
      <c r="W2538" s="57"/>
      <c r="X2538" s="57"/>
      <c r="Y2538" s="57"/>
      <c r="Z2538" s="57"/>
      <c r="AA2538" s="57"/>
      <c r="AB2538" s="57"/>
      <c r="AC2538" s="57"/>
      <c r="AD2538" s="57"/>
      <c r="AE2538" s="57"/>
      <c r="AF2538" s="57"/>
    </row>
    <row r="2539" spans="1:32" x14ac:dyDescent="0.2">
      <c r="A2539" s="57"/>
      <c r="B2539" s="57"/>
      <c r="C2539" s="57"/>
      <c r="D2539" s="57"/>
      <c r="E2539" s="57"/>
      <c r="F2539" s="985"/>
      <c r="G2539" s="57"/>
      <c r="H2539" s="57"/>
      <c r="I2539" s="990"/>
      <c r="J2539" s="57"/>
      <c r="K2539" s="57"/>
      <c r="L2539" s="57"/>
      <c r="M2539" s="57"/>
      <c r="N2539" s="57"/>
      <c r="O2539" s="57"/>
      <c r="P2539" s="57"/>
      <c r="Q2539" s="57"/>
      <c r="R2539" s="57"/>
      <c r="S2539" s="57"/>
      <c r="T2539" s="57"/>
      <c r="U2539" s="57"/>
      <c r="V2539" s="57"/>
      <c r="W2539" s="57"/>
      <c r="X2539" s="57"/>
      <c r="Y2539" s="57"/>
      <c r="Z2539" s="57"/>
      <c r="AA2539" s="57"/>
      <c r="AB2539" s="57"/>
      <c r="AC2539" s="57"/>
      <c r="AD2539" s="57"/>
      <c r="AE2539" s="57"/>
      <c r="AF2539" s="57"/>
    </row>
    <row r="2540" spans="1:32" x14ac:dyDescent="0.2">
      <c r="A2540" s="57"/>
      <c r="B2540" s="57"/>
      <c r="C2540" s="57"/>
      <c r="D2540" s="57"/>
      <c r="E2540" s="57"/>
      <c r="F2540" s="985"/>
      <c r="G2540" s="57"/>
      <c r="H2540" s="57"/>
      <c r="I2540" s="990"/>
      <c r="J2540" s="57"/>
      <c r="K2540" s="57"/>
      <c r="L2540" s="57"/>
      <c r="M2540" s="57"/>
      <c r="N2540" s="57"/>
      <c r="O2540" s="57"/>
      <c r="P2540" s="57"/>
      <c r="Q2540" s="57"/>
      <c r="R2540" s="57"/>
      <c r="S2540" s="57"/>
      <c r="T2540" s="57"/>
      <c r="U2540" s="57"/>
      <c r="V2540" s="57"/>
      <c r="W2540" s="57"/>
      <c r="X2540" s="57"/>
      <c r="Y2540" s="57"/>
      <c r="Z2540" s="57"/>
      <c r="AA2540" s="57"/>
      <c r="AB2540" s="57"/>
      <c r="AC2540" s="57"/>
      <c r="AD2540" s="57"/>
      <c r="AE2540" s="57"/>
      <c r="AF2540" s="57"/>
    </row>
    <row r="2541" spans="1:32" x14ac:dyDescent="0.2">
      <c r="A2541" s="57"/>
      <c r="B2541" s="57"/>
      <c r="C2541" s="57"/>
      <c r="D2541" s="57"/>
      <c r="E2541" s="57"/>
      <c r="F2541" s="985"/>
      <c r="G2541" s="57"/>
      <c r="H2541" s="57"/>
      <c r="I2541" s="990"/>
      <c r="J2541" s="57"/>
      <c r="K2541" s="57"/>
      <c r="L2541" s="57"/>
      <c r="M2541" s="57"/>
      <c r="N2541" s="57"/>
      <c r="O2541" s="57"/>
      <c r="P2541" s="57"/>
      <c r="Q2541" s="57"/>
      <c r="R2541" s="57"/>
      <c r="S2541" s="57"/>
      <c r="T2541" s="57"/>
      <c r="U2541" s="57"/>
      <c r="V2541" s="57"/>
      <c r="W2541" s="57"/>
      <c r="X2541" s="57"/>
      <c r="Y2541" s="57"/>
      <c r="Z2541" s="57"/>
      <c r="AA2541" s="57"/>
      <c r="AB2541" s="57"/>
      <c r="AC2541" s="57"/>
      <c r="AD2541" s="57"/>
      <c r="AE2541" s="57"/>
      <c r="AF2541" s="57"/>
    </row>
    <row r="2542" spans="1:32" x14ac:dyDescent="0.2">
      <c r="A2542" s="57"/>
      <c r="B2542" s="57"/>
      <c r="C2542" s="57"/>
      <c r="D2542" s="57"/>
      <c r="E2542" s="57"/>
      <c r="F2542" s="985"/>
      <c r="G2542" s="57"/>
      <c r="H2542" s="57"/>
      <c r="I2542" s="990"/>
      <c r="J2542" s="57"/>
      <c r="K2542" s="57"/>
      <c r="L2542" s="57"/>
      <c r="M2542" s="57"/>
      <c r="N2542" s="57"/>
      <c r="O2542" s="57"/>
      <c r="P2542" s="57"/>
      <c r="Q2542" s="57"/>
      <c r="R2542" s="57"/>
      <c r="S2542" s="57"/>
      <c r="T2542" s="57"/>
      <c r="U2542" s="57"/>
      <c r="V2542" s="57"/>
      <c r="W2542" s="57"/>
      <c r="X2542" s="57"/>
      <c r="Y2542" s="57"/>
      <c r="Z2542" s="57"/>
      <c r="AA2542" s="57"/>
      <c r="AB2542" s="57"/>
      <c r="AC2542" s="57"/>
      <c r="AD2542" s="57"/>
      <c r="AE2542" s="57"/>
      <c r="AF2542" s="57"/>
    </row>
    <row r="2543" spans="1:32" x14ac:dyDescent="0.2">
      <c r="A2543" s="57"/>
      <c r="B2543" s="57"/>
      <c r="C2543" s="57"/>
      <c r="D2543" s="57"/>
      <c r="E2543" s="57"/>
      <c r="F2543" s="985"/>
      <c r="G2543" s="57"/>
      <c r="H2543" s="57"/>
      <c r="I2543" s="990"/>
      <c r="J2543" s="57"/>
      <c r="K2543" s="57"/>
      <c r="L2543" s="57"/>
      <c r="M2543" s="57"/>
      <c r="N2543" s="57"/>
      <c r="O2543" s="57"/>
      <c r="P2543" s="57"/>
      <c r="Q2543" s="57"/>
      <c r="R2543" s="57"/>
      <c r="S2543" s="57"/>
      <c r="T2543" s="57"/>
      <c r="U2543" s="57"/>
      <c r="V2543" s="57"/>
      <c r="W2543" s="57"/>
      <c r="X2543" s="57"/>
      <c r="Y2543" s="57"/>
      <c r="Z2543" s="57"/>
      <c r="AA2543" s="57"/>
      <c r="AB2543" s="57"/>
      <c r="AC2543" s="57"/>
      <c r="AD2543" s="57"/>
      <c r="AE2543" s="57"/>
      <c r="AF2543" s="57"/>
    </row>
    <row r="2544" spans="1:32" x14ac:dyDescent="0.2">
      <c r="A2544" s="57"/>
      <c r="B2544" s="57"/>
      <c r="C2544" s="57"/>
      <c r="D2544" s="57"/>
      <c r="E2544" s="57"/>
      <c r="F2544" s="985"/>
      <c r="G2544" s="57"/>
      <c r="H2544" s="57"/>
      <c r="I2544" s="990"/>
      <c r="J2544" s="57"/>
      <c r="K2544" s="57"/>
      <c r="L2544" s="57"/>
      <c r="M2544" s="57"/>
      <c r="N2544" s="57"/>
      <c r="O2544" s="57"/>
      <c r="P2544" s="57"/>
      <c r="Q2544" s="57"/>
      <c r="R2544" s="57"/>
      <c r="S2544" s="57"/>
      <c r="T2544" s="57"/>
      <c r="U2544" s="57"/>
      <c r="V2544" s="57"/>
      <c r="W2544" s="57"/>
      <c r="X2544" s="57"/>
      <c r="Y2544" s="57"/>
      <c r="Z2544" s="57"/>
      <c r="AA2544" s="57"/>
      <c r="AB2544" s="57"/>
      <c r="AC2544" s="57"/>
      <c r="AD2544" s="57"/>
      <c r="AE2544" s="57"/>
      <c r="AF2544" s="57"/>
    </row>
    <row r="2545" spans="1:32" x14ac:dyDescent="0.2">
      <c r="A2545" s="57"/>
      <c r="B2545" s="57"/>
      <c r="C2545" s="57"/>
      <c r="D2545" s="57"/>
      <c r="E2545" s="57"/>
      <c r="F2545" s="985"/>
      <c r="G2545" s="57"/>
      <c r="H2545" s="57"/>
      <c r="I2545" s="990"/>
      <c r="J2545" s="57"/>
      <c r="K2545" s="57"/>
      <c r="L2545" s="57"/>
      <c r="M2545" s="57"/>
      <c r="N2545" s="57"/>
      <c r="O2545" s="57"/>
      <c r="P2545" s="57"/>
      <c r="Q2545" s="57"/>
      <c r="R2545" s="57"/>
      <c r="S2545" s="57"/>
      <c r="T2545" s="57"/>
      <c r="U2545" s="57"/>
      <c r="V2545" s="57"/>
      <c r="W2545" s="57"/>
      <c r="X2545" s="57"/>
      <c r="Y2545" s="57"/>
      <c r="Z2545" s="57"/>
      <c r="AA2545" s="57"/>
      <c r="AB2545" s="57"/>
      <c r="AC2545" s="57"/>
      <c r="AD2545" s="57"/>
      <c r="AE2545" s="57"/>
      <c r="AF2545" s="57"/>
    </row>
    <row r="2546" spans="1:32" x14ac:dyDescent="0.2">
      <c r="A2546" s="57"/>
      <c r="B2546" s="57"/>
      <c r="C2546" s="57"/>
      <c r="D2546" s="57"/>
      <c r="E2546" s="57"/>
      <c r="F2546" s="985"/>
      <c r="G2546" s="57"/>
      <c r="H2546" s="57"/>
      <c r="I2546" s="990"/>
      <c r="J2546" s="57"/>
      <c r="K2546" s="57"/>
      <c r="L2546" s="57"/>
      <c r="M2546" s="57"/>
      <c r="N2546" s="57"/>
      <c r="O2546" s="57"/>
      <c r="P2546" s="57"/>
      <c r="Q2546" s="57"/>
      <c r="R2546" s="57"/>
      <c r="S2546" s="57"/>
      <c r="T2546" s="57"/>
      <c r="U2546" s="57"/>
      <c r="V2546" s="57"/>
      <c r="W2546" s="57"/>
      <c r="X2546" s="57"/>
      <c r="Y2546" s="57"/>
      <c r="Z2546" s="57"/>
      <c r="AA2546" s="57"/>
      <c r="AB2546" s="57"/>
      <c r="AC2546" s="57"/>
      <c r="AD2546" s="57"/>
      <c r="AE2546" s="57"/>
      <c r="AF2546" s="57"/>
    </row>
    <row r="2547" spans="1:32" x14ac:dyDescent="0.2">
      <c r="A2547" s="57"/>
      <c r="B2547" s="57"/>
      <c r="C2547" s="57"/>
      <c r="D2547" s="57"/>
      <c r="E2547" s="57"/>
      <c r="F2547" s="985"/>
      <c r="G2547" s="57"/>
      <c r="H2547" s="57"/>
      <c r="I2547" s="990"/>
      <c r="J2547" s="57"/>
      <c r="K2547" s="57"/>
      <c r="L2547" s="57"/>
      <c r="M2547" s="57"/>
      <c r="N2547" s="57"/>
      <c r="O2547" s="57"/>
      <c r="P2547" s="57"/>
      <c r="Q2547" s="57"/>
      <c r="R2547" s="57"/>
      <c r="S2547" s="57"/>
      <c r="T2547" s="57"/>
      <c r="U2547" s="57"/>
      <c r="V2547" s="57"/>
      <c r="W2547" s="57"/>
      <c r="X2547" s="57"/>
      <c r="Y2547" s="57"/>
      <c r="Z2547" s="57"/>
      <c r="AA2547" s="57"/>
      <c r="AB2547" s="57"/>
      <c r="AC2547" s="57"/>
      <c r="AD2547" s="57"/>
      <c r="AE2547" s="57"/>
      <c r="AF2547" s="57"/>
    </row>
    <row r="2548" spans="1:32" x14ac:dyDescent="0.2">
      <c r="A2548" s="57"/>
      <c r="B2548" s="57"/>
      <c r="C2548" s="57"/>
      <c r="D2548" s="57"/>
      <c r="E2548" s="57"/>
      <c r="F2548" s="985"/>
      <c r="G2548" s="57"/>
      <c r="H2548" s="57"/>
      <c r="I2548" s="990"/>
      <c r="J2548" s="57"/>
      <c r="K2548" s="57"/>
      <c r="L2548" s="57"/>
      <c r="M2548" s="57"/>
      <c r="N2548" s="57"/>
      <c r="O2548" s="57"/>
      <c r="P2548" s="57"/>
      <c r="Q2548" s="57"/>
      <c r="R2548" s="57"/>
      <c r="S2548" s="57"/>
      <c r="T2548" s="57"/>
      <c r="U2548" s="57"/>
      <c r="V2548" s="57"/>
      <c r="W2548" s="57"/>
      <c r="X2548" s="57"/>
      <c r="Y2548" s="57"/>
      <c r="Z2548" s="57"/>
      <c r="AA2548" s="57"/>
      <c r="AB2548" s="57"/>
      <c r="AC2548" s="57"/>
      <c r="AD2548" s="57"/>
      <c r="AE2548" s="57"/>
      <c r="AF2548" s="57"/>
    </row>
    <row r="2549" spans="1:32" x14ac:dyDescent="0.2">
      <c r="A2549" s="57"/>
      <c r="B2549" s="57"/>
      <c r="C2549" s="57"/>
      <c r="D2549" s="57"/>
      <c r="E2549" s="57"/>
      <c r="F2549" s="985"/>
      <c r="G2549" s="57"/>
      <c r="H2549" s="57"/>
      <c r="I2549" s="990"/>
      <c r="J2549" s="57"/>
      <c r="K2549" s="57"/>
      <c r="L2549" s="57"/>
      <c r="M2549" s="57"/>
      <c r="N2549" s="57"/>
      <c r="O2549" s="57"/>
      <c r="P2549" s="57"/>
      <c r="Q2549" s="57"/>
      <c r="R2549" s="57"/>
      <c r="S2549" s="57"/>
      <c r="T2549" s="57"/>
      <c r="U2549" s="57"/>
      <c r="V2549" s="57"/>
      <c r="W2549" s="57"/>
      <c r="X2549" s="57"/>
      <c r="Y2549" s="57"/>
      <c r="Z2549" s="57"/>
      <c r="AA2549" s="57"/>
      <c r="AB2549" s="57"/>
      <c r="AC2549" s="57"/>
      <c r="AD2549" s="57"/>
      <c r="AE2549" s="57"/>
      <c r="AF2549" s="57"/>
    </row>
    <row r="2550" spans="1:32" x14ac:dyDescent="0.2">
      <c r="A2550" s="57"/>
      <c r="B2550" s="57"/>
      <c r="C2550" s="57"/>
      <c r="D2550" s="57"/>
      <c r="E2550" s="57"/>
      <c r="F2550" s="985"/>
      <c r="G2550" s="57"/>
      <c r="H2550" s="57"/>
      <c r="I2550" s="990"/>
      <c r="J2550" s="57"/>
      <c r="K2550" s="57"/>
      <c r="L2550" s="57"/>
      <c r="M2550" s="57"/>
      <c r="N2550" s="57"/>
      <c r="O2550" s="57"/>
      <c r="P2550" s="57"/>
      <c r="Q2550" s="57"/>
      <c r="R2550" s="57"/>
      <c r="S2550" s="57"/>
      <c r="T2550" s="57"/>
      <c r="U2550" s="57"/>
      <c r="V2550" s="57"/>
      <c r="W2550" s="57"/>
      <c r="X2550" s="57"/>
      <c r="Y2550" s="57"/>
      <c r="Z2550" s="57"/>
      <c r="AA2550" s="57"/>
      <c r="AB2550" s="57"/>
      <c r="AC2550" s="57"/>
      <c r="AD2550" s="57"/>
      <c r="AE2550" s="57"/>
      <c r="AF2550" s="57"/>
    </row>
    <row r="2551" spans="1:32" x14ac:dyDescent="0.2">
      <c r="A2551" s="57"/>
      <c r="B2551" s="57"/>
      <c r="C2551" s="57"/>
      <c r="D2551" s="57"/>
      <c r="E2551" s="57"/>
      <c r="F2551" s="985"/>
      <c r="G2551" s="57"/>
      <c r="H2551" s="57"/>
      <c r="I2551" s="990"/>
      <c r="J2551" s="57"/>
      <c r="K2551" s="57"/>
      <c r="L2551" s="57"/>
      <c r="M2551" s="57"/>
      <c r="N2551" s="57"/>
      <c r="O2551" s="57"/>
      <c r="P2551" s="57"/>
      <c r="Q2551" s="57"/>
      <c r="R2551" s="57"/>
      <c r="S2551" s="57"/>
      <c r="T2551" s="57"/>
      <c r="U2551" s="57"/>
      <c r="V2551" s="57"/>
      <c r="W2551" s="57"/>
      <c r="X2551" s="57"/>
      <c r="Y2551" s="57"/>
      <c r="Z2551" s="57"/>
      <c r="AA2551" s="57"/>
      <c r="AB2551" s="57"/>
      <c r="AC2551" s="57"/>
      <c r="AD2551" s="57"/>
      <c r="AE2551" s="57"/>
      <c r="AF2551" s="57"/>
    </row>
    <row r="2552" spans="1:32" x14ac:dyDescent="0.2">
      <c r="A2552" s="57"/>
      <c r="B2552" s="57"/>
      <c r="C2552" s="57"/>
      <c r="D2552" s="57"/>
      <c r="E2552" s="57"/>
      <c r="F2552" s="985"/>
      <c r="G2552" s="57"/>
      <c r="H2552" s="57"/>
      <c r="I2552" s="990"/>
      <c r="J2552" s="57"/>
      <c r="K2552" s="57"/>
      <c r="L2552" s="57"/>
      <c r="M2552" s="57"/>
      <c r="N2552" s="57"/>
      <c r="O2552" s="57"/>
      <c r="P2552" s="57"/>
      <c r="Q2552" s="57"/>
      <c r="R2552" s="57"/>
      <c r="S2552" s="57"/>
      <c r="T2552" s="57"/>
      <c r="U2552" s="57"/>
      <c r="V2552" s="57"/>
      <c r="W2552" s="57"/>
      <c r="X2552" s="57"/>
      <c r="Y2552" s="57"/>
      <c r="Z2552" s="57"/>
      <c r="AA2552" s="57"/>
      <c r="AB2552" s="57"/>
      <c r="AC2552" s="57"/>
      <c r="AD2552" s="57"/>
      <c r="AE2552" s="57"/>
      <c r="AF2552" s="57"/>
    </row>
    <row r="2553" spans="1:32" x14ac:dyDescent="0.2">
      <c r="A2553" s="57"/>
      <c r="B2553" s="57"/>
      <c r="C2553" s="57"/>
      <c r="D2553" s="57"/>
      <c r="E2553" s="57"/>
      <c r="F2553" s="985"/>
      <c r="G2553" s="57"/>
      <c r="H2553" s="57"/>
      <c r="I2553" s="990"/>
      <c r="J2553" s="57"/>
      <c r="K2553" s="57"/>
      <c r="L2553" s="57"/>
      <c r="M2553" s="57"/>
      <c r="N2553" s="57"/>
      <c r="O2553" s="57"/>
      <c r="P2553" s="57"/>
      <c r="Q2553" s="57"/>
      <c r="R2553" s="57"/>
      <c r="S2553" s="57"/>
      <c r="T2553" s="57"/>
      <c r="U2553" s="57"/>
      <c r="V2553" s="57"/>
      <c r="W2553" s="57"/>
      <c r="X2553" s="57"/>
      <c r="Y2553" s="57"/>
      <c r="Z2553" s="57"/>
      <c r="AA2553" s="57"/>
      <c r="AB2553" s="57"/>
      <c r="AC2553" s="57"/>
      <c r="AD2553" s="57"/>
      <c r="AE2553" s="57"/>
      <c r="AF2553" s="57"/>
    </row>
    <row r="2554" spans="1:32" x14ac:dyDescent="0.2">
      <c r="A2554" s="57"/>
      <c r="B2554" s="57"/>
      <c r="C2554" s="57"/>
      <c r="D2554" s="57"/>
      <c r="E2554" s="57"/>
      <c r="F2554" s="985"/>
      <c r="G2554" s="57"/>
      <c r="H2554" s="57"/>
      <c r="I2554" s="990"/>
      <c r="J2554" s="57"/>
      <c r="K2554" s="57"/>
      <c r="L2554" s="57"/>
      <c r="M2554" s="57"/>
      <c r="N2554" s="57"/>
      <c r="O2554" s="57"/>
      <c r="P2554" s="57"/>
      <c r="Q2554" s="57"/>
      <c r="R2554" s="57"/>
      <c r="S2554" s="57"/>
      <c r="T2554" s="57"/>
      <c r="U2554" s="57"/>
      <c r="V2554" s="57"/>
      <c r="W2554" s="57"/>
      <c r="X2554" s="57"/>
      <c r="Y2554" s="57"/>
      <c r="Z2554" s="57"/>
      <c r="AA2554" s="57"/>
      <c r="AB2554" s="57"/>
      <c r="AC2554" s="57"/>
      <c r="AD2554" s="57"/>
      <c r="AE2554" s="57"/>
      <c r="AF2554" s="57"/>
    </row>
    <row r="2555" spans="1:32" x14ac:dyDescent="0.2">
      <c r="A2555" s="57"/>
      <c r="B2555" s="57"/>
      <c r="C2555" s="57"/>
      <c r="D2555" s="57"/>
      <c r="E2555" s="57"/>
      <c r="F2555" s="985"/>
      <c r="G2555" s="57"/>
      <c r="H2555" s="57"/>
      <c r="I2555" s="990"/>
      <c r="J2555" s="57"/>
      <c r="K2555" s="57"/>
      <c r="L2555" s="57"/>
      <c r="M2555" s="57"/>
      <c r="N2555" s="57"/>
      <c r="O2555" s="57"/>
      <c r="P2555" s="57"/>
      <c r="Q2555" s="57"/>
      <c r="R2555" s="57"/>
      <c r="S2555" s="57"/>
      <c r="T2555" s="57"/>
      <c r="U2555" s="57"/>
      <c r="V2555" s="57"/>
      <c r="W2555" s="57"/>
      <c r="X2555" s="57"/>
      <c r="Y2555" s="57"/>
      <c r="Z2555" s="57"/>
      <c r="AA2555" s="57"/>
      <c r="AB2555" s="57"/>
      <c r="AC2555" s="57"/>
      <c r="AD2555" s="57"/>
      <c r="AE2555" s="57"/>
      <c r="AF2555" s="57"/>
    </row>
    <row r="2556" spans="1:32" x14ac:dyDescent="0.2">
      <c r="A2556" s="57"/>
      <c r="B2556" s="57"/>
      <c r="C2556" s="57"/>
      <c r="D2556" s="57"/>
      <c r="E2556" s="57"/>
      <c r="F2556" s="985"/>
      <c r="G2556" s="57"/>
      <c r="H2556" s="57"/>
      <c r="I2556" s="990"/>
      <c r="J2556" s="57"/>
      <c r="K2556" s="57"/>
      <c r="L2556" s="57"/>
      <c r="M2556" s="57"/>
      <c r="N2556" s="57"/>
      <c r="O2556" s="57"/>
      <c r="P2556" s="57"/>
      <c r="Q2556" s="57"/>
      <c r="R2556" s="57"/>
      <c r="S2556" s="57"/>
      <c r="T2556" s="57"/>
      <c r="U2556" s="57"/>
      <c r="V2556" s="57"/>
      <c r="W2556" s="57"/>
      <c r="X2556" s="57"/>
      <c r="Y2556" s="57"/>
      <c r="Z2556" s="57"/>
      <c r="AA2556" s="57"/>
      <c r="AB2556" s="57"/>
      <c r="AC2556" s="57"/>
      <c r="AD2556" s="57"/>
      <c r="AE2556" s="57"/>
      <c r="AF2556" s="57"/>
    </row>
    <row r="2557" spans="1:32" x14ac:dyDescent="0.2">
      <c r="A2557" s="57"/>
      <c r="B2557" s="57"/>
      <c r="C2557" s="57"/>
      <c r="D2557" s="57"/>
      <c r="E2557" s="57"/>
      <c r="F2557" s="985"/>
      <c r="G2557" s="57"/>
      <c r="H2557" s="57"/>
      <c r="I2557" s="990"/>
      <c r="J2557" s="57"/>
      <c r="K2557" s="57"/>
      <c r="L2557" s="57"/>
      <c r="M2557" s="57"/>
      <c r="N2557" s="57"/>
      <c r="O2557" s="57"/>
      <c r="P2557" s="57"/>
      <c r="Q2557" s="57"/>
      <c r="R2557" s="57"/>
      <c r="S2557" s="57"/>
      <c r="T2557" s="57"/>
      <c r="U2557" s="57"/>
      <c r="V2557" s="57"/>
      <c r="W2557" s="57"/>
      <c r="X2557" s="57"/>
      <c r="Y2557" s="57"/>
      <c r="Z2557" s="57"/>
      <c r="AA2557" s="57"/>
      <c r="AB2557" s="57"/>
      <c r="AC2557" s="57"/>
      <c r="AD2557" s="57"/>
      <c r="AE2557" s="57"/>
      <c r="AF2557" s="57"/>
    </row>
    <row r="2558" spans="1:32" x14ac:dyDescent="0.2">
      <c r="A2558" s="57"/>
      <c r="B2558" s="57"/>
      <c r="C2558" s="57"/>
      <c r="D2558" s="57"/>
      <c r="E2558" s="57"/>
      <c r="F2558" s="985"/>
      <c r="G2558" s="57"/>
      <c r="H2558" s="57"/>
      <c r="I2558" s="990"/>
      <c r="J2558" s="57"/>
      <c r="K2558" s="57"/>
      <c r="L2558" s="57"/>
      <c r="M2558" s="57"/>
      <c r="N2558" s="57"/>
      <c r="O2558" s="57"/>
      <c r="P2558" s="57"/>
      <c r="Q2558" s="57"/>
      <c r="R2558" s="57"/>
      <c r="S2558" s="57"/>
      <c r="T2558" s="57"/>
      <c r="U2558" s="57"/>
      <c r="V2558" s="57"/>
      <c r="W2558" s="57"/>
      <c r="X2558" s="57"/>
      <c r="Y2558" s="57"/>
      <c r="Z2558" s="57"/>
      <c r="AA2558" s="57"/>
      <c r="AB2558" s="57"/>
      <c r="AC2558" s="57"/>
      <c r="AD2558" s="57"/>
      <c r="AE2558" s="57"/>
      <c r="AF2558" s="57"/>
    </row>
    <row r="2559" spans="1:32" x14ac:dyDescent="0.2">
      <c r="A2559" s="57"/>
      <c r="B2559" s="57"/>
      <c r="C2559" s="57"/>
      <c r="D2559" s="57"/>
      <c r="E2559" s="57"/>
      <c r="F2559" s="985"/>
      <c r="G2559" s="57"/>
      <c r="H2559" s="57"/>
      <c r="I2559" s="990"/>
      <c r="J2559" s="57"/>
      <c r="K2559" s="57"/>
      <c r="L2559" s="57"/>
      <c r="M2559" s="57"/>
      <c r="N2559" s="57"/>
      <c r="O2559" s="57"/>
      <c r="P2559" s="57"/>
      <c r="Q2559" s="57"/>
      <c r="R2559" s="57"/>
      <c r="S2559" s="57"/>
      <c r="T2559" s="57"/>
      <c r="U2559" s="57"/>
      <c r="V2559" s="57"/>
      <c r="W2559" s="57"/>
      <c r="X2559" s="57"/>
      <c r="Y2559" s="57"/>
      <c r="Z2559" s="57"/>
      <c r="AA2559" s="57"/>
      <c r="AB2559" s="57"/>
      <c r="AC2559" s="57"/>
      <c r="AD2559" s="57"/>
      <c r="AE2559" s="57"/>
      <c r="AF2559" s="57"/>
    </row>
    <row r="2560" spans="1:32" x14ac:dyDescent="0.2">
      <c r="A2560" s="57"/>
      <c r="B2560" s="57"/>
      <c r="C2560" s="57"/>
      <c r="D2560" s="57"/>
      <c r="E2560" s="57"/>
      <c r="F2560" s="985"/>
      <c r="G2560" s="57"/>
      <c r="H2560" s="57"/>
      <c r="I2560" s="990"/>
      <c r="J2560" s="57"/>
      <c r="K2560" s="57"/>
      <c r="L2560" s="57"/>
      <c r="M2560" s="57"/>
      <c r="N2560" s="57"/>
      <c r="O2560" s="57"/>
      <c r="P2560" s="57"/>
      <c r="Q2560" s="57"/>
      <c r="R2560" s="57"/>
      <c r="S2560" s="57"/>
      <c r="T2560" s="57"/>
      <c r="U2560" s="57"/>
      <c r="V2560" s="57"/>
      <c r="W2560" s="57"/>
      <c r="X2560" s="57"/>
      <c r="Y2560" s="57"/>
      <c r="Z2560" s="57"/>
      <c r="AA2560" s="57"/>
      <c r="AB2560" s="57"/>
      <c r="AC2560" s="57"/>
      <c r="AD2560" s="57"/>
      <c r="AE2560" s="57"/>
      <c r="AF2560" s="57"/>
    </row>
    <row r="2561" spans="1:32" x14ac:dyDescent="0.2">
      <c r="A2561" s="57"/>
      <c r="B2561" s="57"/>
      <c r="C2561" s="57"/>
      <c r="D2561" s="57"/>
      <c r="E2561" s="57"/>
      <c r="F2561" s="985"/>
      <c r="G2561" s="57"/>
      <c r="H2561" s="57"/>
      <c r="I2561" s="990"/>
      <c r="J2561" s="57"/>
      <c r="K2561" s="57"/>
      <c r="L2561" s="57"/>
      <c r="M2561" s="57"/>
      <c r="N2561" s="57"/>
      <c r="O2561" s="57"/>
      <c r="P2561" s="57"/>
      <c r="Q2561" s="57"/>
      <c r="R2561" s="57"/>
      <c r="S2561" s="57"/>
      <c r="T2561" s="57"/>
      <c r="U2561" s="57"/>
      <c r="V2561" s="57"/>
      <c r="W2561" s="57"/>
      <c r="X2561" s="57"/>
      <c r="Y2561" s="57"/>
      <c r="Z2561" s="57"/>
      <c r="AA2561" s="57"/>
      <c r="AB2561" s="57"/>
      <c r="AC2561" s="57"/>
      <c r="AD2561" s="57"/>
      <c r="AE2561" s="57"/>
      <c r="AF2561" s="57"/>
    </row>
    <row r="2562" spans="1:32" x14ac:dyDescent="0.2">
      <c r="A2562" s="57"/>
      <c r="B2562" s="57"/>
      <c r="C2562" s="57"/>
      <c r="D2562" s="57"/>
      <c r="E2562" s="57"/>
      <c r="F2562" s="985"/>
      <c r="G2562" s="57"/>
      <c r="H2562" s="57"/>
      <c r="I2562" s="990"/>
      <c r="J2562" s="57"/>
      <c r="K2562" s="57"/>
      <c r="L2562" s="57"/>
      <c r="M2562" s="57"/>
      <c r="N2562" s="57"/>
      <c r="O2562" s="57"/>
      <c r="P2562" s="57"/>
      <c r="Q2562" s="57"/>
      <c r="R2562" s="57"/>
      <c r="S2562" s="57"/>
      <c r="T2562" s="57"/>
      <c r="U2562" s="57"/>
      <c r="V2562" s="57"/>
      <c r="W2562" s="57"/>
      <c r="X2562" s="57"/>
      <c r="Y2562" s="57"/>
      <c r="Z2562" s="57"/>
      <c r="AA2562" s="57"/>
      <c r="AB2562" s="57"/>
      <c r="AC2562" s="57"/>
      <c r="AD2562" s="57"/>
      <c r="AE2562" s="57"/>
      <c r="AF2562" s="57"/>
    </row>
    <row r="2563" spans="1:32" x14ac:dyDescent="0.2">
      <c r="A2563" s="57"/>
      <c r="B2563" s="57"/>
      <c r="C2563" s="57"/>
      <c r="D2563" s="57"/>
      <c r="E2563" s="57"/>
      <c r="F2563" s="985"/>
      <c r="G2563" s="57"/>
      <c r="H2563" s="57"/>
      <c r="I2563" s="990"/>
      <c r="J2563" s="57"/>
      <c r="K2563" s="57"/>
      <c r="L2563" s="57"/>
      <c r="M2563" s="57"/>
      <c r="N2563" s="57"/>
      <c r="O2563" s="57"/>
      <c r="P2563" s="57"/>
      <c r="Q2563" s="57"/>
      <c r="R2563" s="57"/>
      <c r="S2563" s="57"/>
      <c r="T2563" s="57"/>
      <c r="U2563" s="57"/>
      <c r="V2563" s="57"/>
      <c r="W2563" s="57"/>
      <c r="X2563" s="57"/>
      <c r="Y2563" s="57"/>
      <c r="Z2563" s="57"/>
      <c r="AA2563" s="57"/>
      <c r="AB2563" s="57"/>
      <c r="AC2563" s="57"/>
      <c r="AD2563" s="57"/>
      <c r="AE2563" s="57"/>
      <c r="AF2563" s="57"/>
    </row>
    <row r="2564" spans="1:32" x14ac:dyDescent="0.2">
      <c r="A2564" s="57"/>
      <c r="B2564" s="57"/>
      <c r="C2564" s="57"/>
      <c r="D2564" s="57"/>
      <c r="E2564" s="57"/>
      <c r="F2564" s="985"/>
      <c r="G2564" s="57"/>
      <c r="H2564" s="57"/>
      <c r="I2564" s="990"/>
      <c r="J2564" s="57"/>
      <c r="K2564" s="57"/>
      <c r="L2564" s="57"/>
      <c r="M2564" s="57"/>
      <c r="N2564" s="57"/>
      <c r="O2564" s="57"/>
      <c r="P2564" s="57"/>
      <c r="Q2564" s="57"/>
      <c r="R2564" s="57"/>
      <c r="S2564" s="57"/>
      <c r="T2564" s="57"/>
      <c r="U2564" s="57"/>
      <c r="V2564" s="57"/>
      <c r="W2564" s="57"/>
      <c r="X2564" s="57"/>
      <c r="Y2564" s="57"/>
      <c r="Z2564" s="57"/>
      <c r="AA2564" s="57"/>
      <c r="AB2564" s="57"/>
      <c r="AC2564" s="57"/>
      <c r="AD2564" s="57"/>
      <c r="AE2564" s="57"/>
      <c r="AF2564" s="57"/>
    </row>
    <row r="2565" spans="1:32" x14ac:dyDescent="0.2">
      <c r="A2565" s="57"/>
      <c r="B2565" s="57"/>
      <c r="C2565" s="57"/>
      <c r="D2565" s="57"/>
      <c r="E2565" s="57"/>
      <c r="F2565" s="985"/>
      <c r="G2565" s="57"/>
      <c r="H2565" s="57"/>
      <c r="I2565" s="990"/>
      <c r="J2565" s="57"/>
      <c r="K2565" s="57"/>
      <c r="L2565" s="57"/>
      <c r="M2565" s="57"/>
      <c r="N2565" s="57"/>
      <c r="O2565" s="57"/>
      <c r="P2565" s="57"/>
      <c r="Q2565" s="57"/>
      <c r="R2565" s="57"/>
      <c r="S2565" s="57"/>
      <c r="T2565" s="57"/>
      <c r="U2565" s="57"/>
      <c r="V2565" s="57"/>
      <c r="W2565" s="57"/>
      <c r="X2565" s="57"/>
      <c r="Y2565" s="57"/>
      <c r="Z2565" s="57"/>
      <c r="AA2565" s="57"/>
      <c r="AB2565" s="57"/>
      <c r="AC2565" s="57"/>
      <c r="AD2565" s="57"/>
      <c r="AE2565" s="57"/>
      <c r="AF2565" s="57"/>
    </row>
    <row r="2566" spans="1:32" x14ac:dyDescent="0.2">
      <c r="A2566" s="57"/>
      <c r="B2566" s="57"/>
      <c r="C2566" s="57"/>
      <c r="D2566" s="57"/>
      <c r="E2566" s="57"/>
      <c r="F2566" s="985"/>
      <c r="G2566" s="57"/>
      <c r="H2566" s="57"/>
      <c r="I2566" s="990"/>
      <c r="J2566" s="57"/>
      <c r="K2566" s="57"/>
      <c r="L2566" s="57"/>
      <c r="M2566" s="57"/>
      <c r="N2566" s="57"/>
      <c r="O2566" s="57"/>
      <c r="P2566" s="57"/>
      <c r="Q2566" s="57"/>
      <c r="R2566" s="57"/>
      <c r="S2566" s="57"/>
      <c r="T2566" s="57"/>
      <c r="U2566" s="57"/>
      <c r="V2566" s="57"/>
      <c r="W2566" s="57"/>
      <c r="X2566" s="57"/>
      <c r="Y2566" s="57"/>
      <c r="Z2566" s="57"/>
      <c r="AA2566" s="57"/>
      <c r="AB2566" s="57"/>
      <c r="AC2566" s="57"/>
      <c r="AD2566" s="57"/>
      <c r="AE2566" s="57"/>
      <c r="AF2566" s="57"/>
    </row>
    <row r="2567" spans="1:32" x14ac:dyDescent="0.2">
      <c r="A2567" s="57"/>
      <c r="B2567" s="57"/>
      <c r="C2567" s="57"/>
      <c r="D2567" s="57"/>
      <c r="E2567" s="57"/>
      <c r="F2567" s="985"/>
      <c r="G2567" s="57"/>
      <c r="H2567" s="57"/>
      <c r="I2567" s="990"/>
      <c r="J2567" s="57"/>
      <c r="K2567" s="57"/>
      <c r="L2567" s="57"/>
      <c r="M2567" s="57"/>
      <c r="N2567" s="57"/>
      <c r="O2567" s="57"/>
      <c r="P2567" s="57"/>
      <c r="Q2567" s="57"/>
      <c r="R2567" s="57"/>
      <c r="S2567" s="57"/>
      <c r="T2567" s="57"/>
      <c r="U2567" s="57"/>
      <c r="V2567" s="57"/>
      <c r="W2567" s="57"/>
      <c r="X2567" s="57"/>
      <c r="Y2567" s="57"/>
      <c r="Z2567" s="57"/>
      <c r="AA2567" s="57"/>
      <c r="AB2567" s="57"/>
      <c r="AC2567" s="57"/>
      <c r="AD2567" s="57"/>
      <c r="AE2567" s="57"/>
      <c r="AF2567" s="57"/>
    </row>
    <row r="2568" spans="1:32" x14ac:dyDescent="0.2">
      <c r="A2568" s="57"/>
      <c r="B2568" s="57"/>
      <c r="C2568" s="57"/>
      <c r="D2568" s="57"/>
      <c r="E2568" s="57"/>
      <c r="F2568" s="985"/>
      <c r="G2568" s="57"/>
      <c r="H2568" s="57"/>
      <c r="I2568" s="990"/>
      <c r="J2568" s="57"/>
      <c r="K2568" s="57"/>
      <c r="L2568" s="57"/>
      <c r="M2568" s="57"/>
      <c r="N2568" s="57"/>
      <c r="O2568" s="57"/>
      <c r="P2568" s="57"/>
      <c r="Q2568" s="57"/>
      <c r="R2568" s="57"/>
      <c r="S2568" s="57"/>
      <c r="T2568" s="57"/>
      <c r="U2568" s="57"/>
      <c r="V2568" s="57"/>
      <c r="W2568" s="57"/>
      <c r="X2568" s="57"/>
      <c r="Y2568" s="57"/>
      <c r="Z2568" s="57"/>
      <c r="AA2568" s="57"/>
      <c r="AB2568" s="57"/>
      <c r="AC2568" s="57"/>
      <c r="AD2568" s="57"/>
      <c r="AE2568" s="57"/>
      <c r="AF2568" s="57"/>
    </row>
    <row r="2569" spans="1:32" x14ac:dyDescent="0.2">
      <c r="A2569" s="57"/>
      <c r="B2569" s="57"/>
      <c r="C2569" s="57"/>
      <c r="D2569" s="57"/>
      <c r="E2569" s="57"/>
      <c r="F2569" s="985"/>
      <c r="G2569" s="57"/>
      <c r="H2569" s="57"/>
      <c r="I2569" s="990"/>
      <c r="J2569" s="57"/>
      <c r="K2569" s="57"/>
      <c r="L2569" s="57"/>
      <c r="M2569" s="57"/>
      <c r="N2569" s="57"/>
      <c r="O2569" s="57"/>
      <c r="P2569" s="57"/>
      <c r="Q2569" s="57"/>
      <c r="R2569" s="57"/>
      <c r="S2569" s="57"/>
      <c r="T2569" s="57"/>
      <c r="U2569" s="57"/>
      <c r="V2569" s="57"/>
      <c r="W2569" s="57"/>
      <c r="X2569" s="57"/>
      <c r="Y2569" s="57"/>
      <c r="Z2569" s="57"/>
      <c r="AA2569" s="57"/>
      <c r="AB2569" s="57"/>
      <c r="AC2569" s="57"/>
      <c r="AD2569" s="57"/>
      <c r="AE2569" s="57"/>
      <c r="AF2569" s="57"/>
    </row>
    <row r="2570" spans="1:32" x14ac:dyDescent="0.2">
      <c r="A2570" s="57"/>
      <c r="B2570" s="57"/>
      <c r="C2570" s="57"/>
      <c r="D2570" s="57"/>
      <c r="E2570" s="57"/>
      <c r="F2570" s="985"/>
      <c r="G2570" s="57"/>
      <c r="H2570" s="57"/>
      <c r="I2570" s="990"/>
      <c r="J2570" s="57"/>
      <c r="K2570" s="57"/>
      <c r="L2570" s="57"/>
      <c r="M2570" s="57"/>
      <c r="N2570" s="57"/>
      <c r="O2570" s="57"/>
      <c r="P2570" s="57"/>
      <c r="Q2570" s="57"/>
      <c r="R2570" s="57"/>
      <c r="S2570" s="57"/>
      <c r="T2570" s="57"/>
      <c r="U2570" s="57"/>
      <c r="V2570" s="57"/>
      <c r="W2570" s="57"/>
      <c r="X2570" s="57"/>
      <c r="Y2570" s="57"/>
      <c r="Z2570" s="57"/>
      <c r="AA2570" s="57"/>
      <c r="AB2570" s="57"/>
      <c r="AC2570" s="57"/>
      <c r="AD2570" s="57"/>
      <c r="AE2570" s="57"/>
      <c r="AF2570" s="57"/>
    </row>
    <row r="2571" spans="1:32" x14ac:dyDescent="0.2">
      <c r="A2571" s="57"/>
      <c r="B2571" s="57"/>
      <c r="C2571" s="57"/>
      <c r="D2571" s="57"/>
      <c r="E2571" s="57"/>
      <c r="F2571" s="985"/>
      <c r="G2571" s="57"/>
      <c r="H2571" s="57"/>
      <c r="I2571" s="990"/>
      <c r="J2571" s="57"/>
      <c r="K2571" s="57"/>
      <c r="L2571" s="57"/>
      <c r="M2571" s="57"/>
      <c r="N2571" s="57"/>
      <c r="O2571" s="57"/>
      <c r="P2571" s="57"/>
      <c r="Q2571" s="57"/>
      <c r="R2571" s="57"/>
      <c r="S2571" s="57"/>
      <c r="T2571" s="57"/>
      <c r="U2571" s="57"/>
      <c r="V2571" s="57"/>
      <c r="W2571" s="57"/>
      <c r="X2571" s="57"/>
      <c r="Y2571" s="57"/>
      <c r="Z2571" s="57"/>
      <c r="AA2571" s="57"/>
      <c r="AB2571" s="57"/>
      <c r="AC2571" s="57"/>
      <c r="AD2571" s="57"/>
      <c r="AE2571" s="57"/>
      <c r="AF2571" s="57"/>
    </row>
    <row r="2572" spans="1:32" x14ac:dyDescent="0.2">
      <c r="A2572" s="57"/>
      <c r="B2572" s="57"/>
      <c r="C2572" s="57"/>
      <c r="D2572" s="57"/>
      <c r="E2572" s="57"/>
      <c r="F2572" s="985"/>
      <c r="G2572" s="57"/>
      <c r="H2572" s="57"/>
      <c r="I2572" s="990"/>
      <c r="J2572" s="57"/>
      <c r="K2572" s="57"/>
      <c r="L2572" s="57"/>
      <c r="M2572" s="57"/>
      <c r="N2572" s="57"/>
      <c r="O2572" s="57"/>
      <c r="P2572" s="57"/>
      <c r="Q2572" s="57"/>
      <c r="R2572" s="57"/>
      <c r="S2572" s="57"/>
      <c r="T2572" s="57"/>
      <c r="U2572" s="57"/>
      <c r="V2572" s="57"/>
      <c r="W2572" s="57"/>
      <c r="X2572" s="57"/>
      <c r="Y2572" s="57"/>
      <c r="Z2572" s="57"/>
      <c r="AA2572" s="57"/>
      <c r="AB2572" s="57"/>
      <c r="AC2572" s="57"/>
      <c r="AD2572" s="57"/>
      <c r="AE2572" s="57"/>
      <c r="AF2572" s="57"/>
    </row>
    <row r="2573" spans="1:32" x14ac:dyDescent="0.2">
      <c r="A2573" s="57"/>
      <c r="B2573" s="57"/>
      <c r="C2573" s="57"/>
      <c r="D2573" s="57"/>
      <c r="E2573" s="57"/>
      <c r="F2573" s="985"/>
      <c r="G2573" s="57"/>
      <c r="H2573" s="57"/>
      <c r="I2573" s="990"/>
      <c r="J2573" s="57"/>
      <c r="K2573" s="57"/>
      <c r="L2573" s="57"/>
      <c r="M2573" s="57"/>
      <c r="N2573" s="57"/>
      <c r="O2573" s="57"/>
      <c r="P2573" s="57"/>
      <c r="Q2573" s="57"/>
      <c r="R2573" s="57"/>
      <c r="S2573" s="57"/>
      <c r="T2573" s="57"/>
      <c r="U2573" s="57"/>
      <c r="V2573" s="57"/>
      <c r="W2573" s="57"/>
      <c r="X2573" s="57"/>
      <c r="Y2573" s="57"/>
      <c r="Z2573" s="57"/>
      <c r="AA2573" s="57"/>
      <c r="AB2573" s="57"/>
      <c r="AC2573" s="57"/>
      <c r="AD2573" s="57"/>
      <c r="AE2573" s="57"/>
      <c r="AF2573" s="57"/>
    </row>
    <row r="2574" spans="1:32" x14ac:dyDescent="0.2">
      <c r="A2574" s="57"/>
      <c r="B2574" s="57"/>
      <c r="C2574" s="57"/>
      <c r="D2574" s="57"/>
      <c r="E2574" s="57"/>
      <c r="F2574" s="985"/>
      <c r="G2574" s="57"/>
      <c r="H2574" s="57"/>
      <c r="I2574" s="990"/>
      <c r="J2574" s="57"/>
      <c r="K2574" s="57"/>
      <c r="L2574" s="57"/>
      <c r="M2574" s="57"/>
      <c r="N2574" s="57"/>
      <c r="O2574" s="57"/>
      <c r="P2574" s="57"/>
      <c r="Q2574" s="57"/>
      <c r="R2574" s="57"/>
      <c r="S2574" s="57"/>
      <c r="T2574" s="57"/>
      <c r="U2574" s="57"/>
      <c r="V2574" s="57"/>
      <c r="W2574" s="57"/>
      <c r="X2574" s="57"/>
      <c r="Y2574" s="57"/>
      <c r="Z2574" s="57"/>
      <c r="AA2574" s="57"/>
      <c r="AB2574" s="57"/>
      <c r="AC2574" s="57"/>
      <c r="AD2574" s="57"/>
      <c r="AE2574" s="57"/>
      <c r="AF2574" s="57"/>
    </row>
    <row r="2575" spans="1:32" x14ac:dyDescent="0.2">
      <c r="A2575" s="57"/>
      <c r="B2575" s="57"/>
      <c r="C2575" s="57"/>
      <c r="D2575" s="57"/>
      <c r="E2575" s="57"/>
      <c r="F2575" s="985"/>
      <c r="G2575" s="57"/>
      <c r="H2575" s="57"/>
      <c r="I2575" s="990"/>
      <c r="J2575" s="57"/>
      <c r="K2575" s="57"/>
      <c r="L2575" s="57"/>
      <c r="M2575" s="57"/>
      <c r="N2575" s="57"/>
      <c r="O2575" s="57"/>
      <c r="P2575" s="57"/>
      <c r="Q2575" s="57"/>
      <c r="R2575" s="57"/>
      <c r="S2575" s="57"/>
      <c r="T2575" s="57"/>
      <c r="U2575" s="57"/>
      <c r="V2575" s="57"/>
      <c r="W2575" s="57"/>
      <c r="X2575" s="57"/>
      <c r="Y2575" s="57"/>
      <c r="Z2575" s="57"/>
      <c r="AA2575" s="57"/>
      <c r="AB2575" s="57"/>
      <c r="AC2575" s="57"/>
      <c r="AD2575" s="57"/>
      <c r="AE2575" s="57"/>
      <c r="AF2575" s="57"/>
    </row>
    <row r="2576" spans="1:32" x14ac:dyDescent="0.2">
      <c r="A2576" s="57"/>
      <c r="B2576" s="57"/>
      <c r="C2576" s="57"/>
      <c r="D2576" s="57"/>
      <c r="E2576" s="57"/>
      <c r="F2576" s="985"/>
      <c r="G2576" s="57"/>
      <c r="H2576" s="57"/>
      <c r="I2576" s="990"/>
      <c r="J2576" s="57"/>
      <c r="K2576" s="57"/>
      <c r="L2576" s="57"/>
      <c r="M2576" s="57"/>
      <c r="N2576" s="57"/>
      <c r="O2576" s="57"/>
      <c r="P2576" s="57"/>
      <c r="Q2576" s="57"/>
      <c r="R2576" s="57"/>
      <c r="S2576" s="57"/>
      <c r="T2576" s="57"/>
      <c r="U2576" s="57"/>
      <c r="V2576" s="57"/>
      <c r="W2576" s="57"/>
      <c r="X2576" s="57"/>
      <c r="Y2576" s="57"/>
      <c r="Z2576" s="57"/>
      <c r="AA2576" s="57"/>
      <c r="AB2576" s="57"/>
      <c r="AC2576" s="57"/>
      <c r="AD2576" s="57"/>
      <c r="AE2576" s="57"/>
      <c r="AF2576" s="57"/>
    </row>
    <row r="2577" spans="1:32" x14ac:dyDescent="0.2">
      <c r="A2577" s="57"/>
      <c r="B2577" s="57"/>
      <c r="C2577" s="57"/>
      <c r="D2577" s="57"/>
      <c r="E2577" s="57"/>
      <c r="F2577" s="985"/>
      <c r="G2577" s="57"/>
      <c r="H2577" s="57"/>
      <c r="I2577" s="990"/>
      <c r="J2577" s="57"/>
      <c r="K2577" s="57"/>
      <c r="L2577" s="57"/>
      <c r="M2577" s="57"/>
      <c r="N2577" s="57"/>
      <c r="O2577" s="57"/>
      <c r="P2577" s="57"/>
      <c r="Q2577" s="57"/>
      <c r="R2577" s="57"/>
      <c r="S2577" s="57"/>
      <c r="T2577" s="57"/>
      <c r="U2577" s="57"/>
      <c r="V2577" s="57"/>
      <c r="W2577" s="57"/>
      <c r="X2577" s="57"/>
      <c r="Y2577" s="57"/>
      <c r="Z2577" s="57"/>
      <c r="AA2577" s="57"/>
      <c r="AB2577" s="57"/>
      <c r="AC2577" s="57"/>
      <c r="AD2577" s="57"/>
      <c r="AE2577" s="57"/>
      <c r="AF2577" s="57"/>
    </row>
    <row r="2578" spans="1:32" x14ac:dyDescent="0.2">
      <c r="A2578" s="57"/>
      <c r="B2578" s="57"/>
      <c r="C2578" s="57"/>
      <c r="D2578" s="57"/>
      <c r="E2578" s="57"/>
      <c r="F2578" s="985"/>
      <c r="G2578" s="57"/>
      <c r="H2578" s="57"/>
      <c r="I2578" s="990"/>
      <c r="J2578" s="57"/>
      <c r="K2578" s="57"/>
      <c r="L2578" s="57"/>
      <c r="M2578" s="57"/>
      <c r="N2578" s="57"/>
      <c r="O2578" s="57"/>
      <c r="P2578" s="57"/>
      <c r="Q2578" s="57"/>
      <c r="R2578" s="57"/>
      <c r="S2578" s="57"/>
      <c r="T2578" s="57"/>
      <c r="U2578" s="57"/>
      <c r="V2578" s="57"/>
      <c r="W2578" s="57"/>
      <c r="X2578" s="57"/>
      <c r="Y2578" s="57"/>
      <c r="Z2578" s="57"/>
      <c r="AA2578" s="57"/>
      <c r="AB2578" s="57"/>
      <c r="AC2578" s="57"/>
      <c r="AD2578" s="57"/>
      <c r="AE2578" s="57"/>
      <c r="AF2578" s="57"/>
    </row>
    <row r="2579" spans="1:32" x14ac:dyDescent="0.2">
      <c r="A2579" s="57"/>
      <c r="B2579" s="57"/>
      <c r="C2579" s="57"/>
      <c r="D2579" s="57"/>
      <c r="E2579" s="57"/>
      <c r="F2579" s="985"/>
      <c r="G2579" s="57"/>
      <c r="H2579" s="57"/>
      <c r="I2579" s="990"/>
      <c r="J2579" s="57"/>
      <c r="K2579" s="57"/>
      <c r="L2579" s="57"/>
      <c r="M2579" s="57"/>
      <c r="N2579" s="57"/>
      <c r="O2579" s="57"/>
      <c r="P2579" s="57"/>
      <c r="Q2579" s="57"/>
      <c r="R2579" s="57"/>
      <c r="S2579" s="57"/>
      <c r="T2579" s="57"/>
      <c r="U2579" s="57"/>
      <c r="V2579" s="57"/>
      <c r="W2579" s="57"/>
      <c r="X2579" s="57"/>
      <c r="Y2579" s="57"/>
      <c r="Z2579" s="57"/>
      <c r="AA2579" s="57"/>
      <c r="AB2579" s="57"/>
      <c r="AC2579" s="57"/>
      <c r="AD2579" s="57"/>
      <c r="AE2579" s="57"/>
      <c r="AF2579" s="57"/>
    </row>
    <row r="2580" spans="1:32" x14ac:dyDescent="0.2">
      <c r="A2580" s="57"/>
      <c r="B2580" s="57"/>
      <c r="C2580" s="57"/>
      <c r="D2580" s="57"/>
      <c r="E2580" s="57"/>
      <c r="F2580" s="985"/>
      <c r="G2580" s="57"/>
      <c r="H2580" s="57"/>
      <c r="I2580" s="990"/>
      <c r="J2580" s="57"/>
      <c r="K2580" s="57"/>
      <c r="L2580" s="57"/>
      <c r="M2580" s="57"/>
      <c r="N2580" s="57"/>
      <c r="O2580" s="57"/>
      <c r="P2580" s="57"/>
      <c r="Q2580" s="57"/>
      <c r="R2580" s="57"/>
      <c r="S2580" s="57"/>
      <c r="T2580" s="57"/>
      <c r="U2580" s="57"/>
      <c r="V2580" s="57"/>
      <c r="W2580" s="57"/>
      <c r="X2580" s="57"/>
      <c r="Y2580" s="57"/>
      <c r="Z2580" s="57"/>
      <c r="AA2580" s="57"/>
      <c r="AB2580" s="57"/>
      <c r="AC2580" s="57"/>
      <c r="AD2580" s="57"/>
      <c r="AE2580" s="57"/>
      <c r="AF2580" s="57"/>
    </row>
    <row r="2581" spans="1:32" x14ac:dyDescent="0.2">
      <c r="A2581" s="57"/>
      <c r="B2581" s="57"/>
      <c r="C2581" s="57"/>
      <c r="D2581" s="57"/>
      <c r="E2581" s="57"/>
      <c r="F2581" s="985"/>
      <c r="G2581" s="57"/>
      <c r="H2581" s="57"/>
      <c r="I2581" s="990"/>
      <c r="J2581" s="57"/>
      <c r="K2581" s="57"/>
      <c r="L2581" s="57"/>
      <c r="M2581" s="57"/>
      <c r="N2581" s="57"/>
      <c r="O2581" s="57"/>
      <c r="P2581" s="57"/>
      <c r="Q2581" s="57"/>
      <c r="R2581" s="57"/>
      <c r="S2581" s="57"/>
      <c r="T2581" s="57"/>
      <c r="U2581" s="57"/>
      <c r="V2581" s="57"/>
      <c r="W2581" s="57"/>
      <c r="X2581" s="57"/>
      <c r="Y2581" s="57"/>
      <c r="Z2581" s="57"/>
      <c r="AA2581" s="57"/>
      <c r="AB2581" s="57"/>
      <c r="AC2581" s="57"/>
      <c r="AD2581" s="57"/>
      <c r="AE2581" s="57"/>
      <c r="AF2581" s="57"/>
    </row>
    <row r="2582" spans="1:32" x14ac:dyDescent="0.2">
      <c r="A2582" s="57"/>
      <c r="B2582" s="57"/>
      <c r="C2582" s="57"/>
      <c r="D2582" s="57"/>
      <c r="E2582" s="57"/>
      <c r="F2582" s="985"/>
      <c r="G2582" s="57"/>
      <c r="H2582" s="57"/>
      <c r="I2582" s="990"/>
      <c r="J2582" s="57"/>
      <c r="K2582" s="57"/>
      <c r="L2582" s="57"/>
      <c r="M2582" s="57"/>
      <c r="N2582" s="57"/>
      <c r="O2582" s="57"/>
      <c r="P2582" s="57"/>
      <c r="Q2582" s="57"/>
      <c r="R2582" s="57"/>
      <c r="S2582" s="57"/>
      <c r="T2582" s="57"/>
      <c r="U2582" s="57"/>
      <c r="V2582" s="57"/>
      <c r="W2582" s="57"/>
      <c r="X2582" s="57"/>
      <c r="Y2582" s="57"/>
      <c r="Z2582" s="57"/>
      <c r="AA2582" s="57"/>
      <c r="AB2582" s="57"/>
      <c r="AC2582" s="57"/>
      <c r="AD2582" s="57"/>
      <c r="AE2582" s="57"/>
      <c r="AF2582" s="57"/>
    </row>
    <row r="2583" spans="1:32" x14ac:dyDescent="0.2">
      <c r="A2583" s="57"/>
      <c r="B2583" s="57"/>
      <c r="C2583" s="57"/>
      <c r="D2583" s="57"/>
      <c r="E2583" s="57"/>
      <c r="F2583" s="985"/>
      <c r="G2583" s="57"/>
      <c r="H2583" s="57"/>
      <c r="I2583" s="990"/>
      <c r="J2583" s="57"/>
      <c r="K2583" s="57"/>
      <c r="L2583" s="57"/>
      <c r="M2583" s="57"/>
      <c r="N2583" s="57"/>
      <c r="O2583" s="57"/>
      <c r="P2583" s="57"/>
      <c r="Q2583" s="57"/>
      <c r="R2583" s="57"/>
      <c r="S2583" s="57"/>
      <c r="T2583" s="57"/>
      <c r="U2583" s="57"/>
      <c r="V2583" s="57"/>
      <c r="W2583" s="57"/>
      <c r="X2583" s="57"/>
      <c r="Y2583" s="57"/>
      <c r="Z2583" s="57"/>
      <c r="AA2583" s="57"/>
      <c r="AB2583" s="57"/>
      <c r="AC2583" s="57"/>
      <c r="AD2583" s="57"/>
      <c r="AE2583" s="57"/>
      <c r="AF2583" s="57"/>
    </row>
    <row r="2584" spans="1:32" x14ac:dyDescent="0.2">
      <c r="A2584" s="57"/>
      <c r="B2584" s="57"/>
      <c r="C2584" s="57"/>
      <c r="D2584" s="57"/>
      <c r="E2584" s="57"/>
      <c r="F2584" s="985"/>
      <c r="G2584" s="57"/>
      <c r="H2584" s="57"/>
      <c r="I2584" s="990"/>
      <c r="J2584" s="57"/>
      <c r="K2584" s="57"/>
      <c r="L2584" s="57"/>
      <c r="M2584" s="57"/>
      <c r="N2584" s="57"/>
      <c r="O2584" s="57"/>
      <c r="P2584" s="57"/>
      <c r="Q2584" s="57"/>
      <c r="R2584" s="57"/>
      <c r="S2584" s="57"/>
      <c r="T2584" s="57"/>
      <c r="U2584" s="57"/>
      <c r="V2584" s="57"/>
      <c r="W2584" s="57"/>
      <c r="X2584" s="57"/>
      <c r="Y2584" s="57"/>
      <c r="Z2584" s="57"/>
      <c r="AA2584" s="57"/>
      <c r="AB2584" s="57"/>
      <c r="AC2584" s="57"/>
      <c r="AD2584" s="57"/>
      <c r="AE2584" s="57"/>
      <c r="AF2584" s="57"/>
    </row>
    <row r="2585" spans="1:32" x14ac:dyDescent="0.2">
      <c r="A2585" s="57"/>
      <c r="B2585" s="57"/>
      <c r="C2585" s="57"/>
      <c r="D2585" s="57"/>
      <c r="E2585" s="57"/>
      <c r="F2585" s="985"/>
      <c r="G2585" s="57"/>
      <c r="H2585" s="57"/>
      <c r="I2585" s="990"/>
      <c r="J2585" s="57"/>
      <c r="K2585" s="57"/>
      <c r="L2585" s="57"/>
      <c r="M2585" s="57"/>
      <c r="N2585" s="57"/>
      <c r="O2585" s="57"/>
      <c r="P2585" s="57"/>
      <c r="Q2585" s="57"/>
      <c r="R2585" s="57"/>
      <c r="S2585" s="57"/>
      <c r="T2585" s="57"/>
      <c r="U2585" s="57"/>
      <c r="V2585" s="57"/>
      <c r="W2585" s="57"/>
      <c r="X2585" s="57"/>
      <c r="Y2585" s="57"/>
      <c r="Z2585" s="57"/>
      <c r="AA2585" s="57"/>
      <c r="AB2585" s="57"/>
      <c r="AC2585" s="57"/>
      <c r="AD2585" s="57"/>
      <c r="AE2585" s="57"/>
      <c r="AF2585" s="57"/>
    </row>
    <row r="2586" spans="1:32" x14ac:dyDescent="0.2">
      <c r="A2586" s="57"/>
      <c r="B2586" s="57"/>
      <c r="C2586" s="57"/>
      <c r="D2586" s="57"/>
      <c r="E2586" s="57"/>
      <c r="F2586" s="985"/>
      <c r="G2586" s="57"/>
      <c r="H2586" s="57"/>
      <c r="I2586" s="990"/>
      <c r="J2586" s="57"/>
      <c r="K2586" s="57"/>
      <c r="L2586" s="57"/>
      <c r="M2586" s="57"/>
      <c r="N2586" s="57"/>
      <c r="O2586" s="57"/>
      <c r="P2586" s="57"/>
      <c r="Q2586" s="57"/>
      <c r="R2586" s="57"/>
      <c r="S2586" s="57"/>
      <c r="T2586" s="57"/>
      <c r="U2586" s="57"/>
      <c r="V2586" s="57"/>
      <c r="W2586" s="57"/>
      <c r="X2586" s="57"/>
      <c r="Y2586" s="57"/>
      <c r="Z2586" s="57"/>
      <c r="AA2586" s="57"/>
      <c r="AB2586" s="57"/>
      <c r="AC2586" s="57"/>
      <c r="AD2586" s="57"/>
      <c r="AE2586" s="57"/>
      <c r="AF2586" s="57"/>
    </row>
    <row r="2587" spans="1:32" x14ac:dyDescent="0.2">
      <c r="A2587" s="57"/>
      <c r="B2587" s="57"/>
      <c r="C2587" s="57"/>
      <c r="D2587" s="57"/>
      <c r="E2587" s="57"/>
      <c r="F2587" s="985"/>
      <c r="G2587" s="57"/>
      <c r="H2587" s="57"/>
      <c r="I2587" s="990"/>
      <c r="J2587" s="57"/>
      <c r="K2587" s="57"/>
      <c r="L2587" s="57"/>
      <c r="M2587" s="57"/>
      <c r="N2587" s="57"/>
      <c r="O2587" s="57"/>
      <c r="P2587" s="57"/>
      <c r="Q2587" s="57"/>
      <c r="R2587" s="57"/>
      <c r="S2587" s="57"/>
      <c r="T2587" s="57"/>
      <c r="U2587" s="57"/>
      <c r="V2587" s="57"/>
      <c r="W2587" s="57"/>
      <c r="X2587" s="57"/>
      <c r="Y2587" s="57"/>
      <c r="Z2587" s="57"/>
      <c r="AA2587" s="57"/>
      <c r="AB2587" s="57"/>
      <c r="AC2587" s="57"/>
      <c r="AD2587" s="57"/>
      <c r="AE2587" s="57"/>
      <c r="AF2587" s="57"/>
    </row>
    <row r="2588" spans="1:32" x14ac:dyDescent="0.2">
      <c r="A2588" s="57"/>
      <c r="B2588" s="57"/>
      <c r="C2588" s="57"/>
      <c r="D2588" s="57"/>
      <c r="E2588" s="57"/>
      <c r="F2588" s="985"/>
      <c r="G2588" s="57"/>
      <c r="H2588" s="57"/>
      <c r="I2588" s="990"/>
      <c r="J2588" s="57"/>
      <c r="K2588" s="57"/>
      <c r="L2588" s="57"/>
      <c r="M2588" s="57"/>
      <c r="N2588" s="57"/>
      <c r="O2588" s="57"/>
      <c r="P2588" s="57"/>
      <c r="Q2588" s="57"/>
      <c r="R2588" s="57"/>
      <c r="S2588" s="57"/>
      <c r="T2588" s="57"/>
      <c r="U2588" s="57"/>
      <c r="V2588" s="57"/>
      <c r="W2588" s="57"/>
      <c r="X2588" s="57"/>
      <c r="Y2588" s="57"/>
      <c r="Z2588" s="57"/>
      <c r="AA2588" s="57"/>
      <c r="AB2588" s="57"/>
      <c r="AC2588" s="57"/>
      <c r="AD2588" s="57"/>
      <c r="AE2588" s="57"/>
      <c r="AF2588" s="57"/>
    </row>
    <row r="2589" spans="1:32" x14ac:dyDescent="0.2">
      <c r="A2589" s="57"/>
      <c r="B2589" s="57"/>
      <c r="C2589" s="57"/>
      <c r="D2589" s="57"/>
      <c r="E2589" s="57"/>
      <c r="F2589" s="985"/>
      <c r="G2589" s="57"/>
      <c r="H2589" s="57"/>
      <c r="I2589" s="990"/>
      <c r="J2589" s="57"/>
      <c r="K2589" s="57"/>
      <c r="L2589" s="57"/>
      <c r="M2589" s="57"/>
      <c r="N2589" s="57"/>
      <c r="O2589" s="57"/>
      <c r="P2589" s="57"/>
      <c r="Q2589" s="57"/>
      <c r="R2589" s="57"/>
      <c r="S2589" s="57"/>
      <c r="T2589" s="57"/>
      <c r="U2589" s="57"/>
      <c r="V2589" s="57"/>
      <c r="W2589" s="57"/>
      <c r="X2589" s="57"/>
      <c r="Y2589" s="57"/>
      <c r="Z2589" s="57"/>
      <c r="AA2589" s="57"/>
      <c r="AB2589" s="57"/>
      <c r="AC2589" s="57"/>
      <c r="AD2589" s="57"/>
      <c r="AE2589" s="57"/>
      <c r="AF2589" s="57"/>
    </row>
    <row r="2590" spans="1:32" x14ac:dyDescent="0.2">
      <c r="A2590" s="57"/>
      <c r="B2590" s="57"/>
      <c r="C2590" s="57"/>
      <c r="D2590" s="57"/>
      <c r="E2590" s="57"/>
      <c r="F2590" s="985"/>
      <c r="G2590" s="57"/>
      <c r="H2590" s="57"/>
      <c r="I2590" s="990"/>
      <c r="J2590" s="57"/>
      <c r="K2590" s="57"/>
      <c r="L2590" s="57"/>
      <c r="M2590" s="57"/>
      <c r="N2590" s="57"/>
      <c r="O2590" s="57"/>
      <c r="P2590" s="57"/>
      <c r="Q2590" s="57"/>
      <c r="R2590" s="57"/>
      <c r="S2590" s="57"/>
      <c r="T2590" s="57"/>
      <c r="U2590" s="57"/>
      <c r="V2590" s="57"/>
      <c r="W2590" s="57"/>
      <c r="X2590" s="57"/>
      <c r="Y2590" s="57"/>
      <c r="Z2590" s="57"/>
      <c r="AA2590" s="57"/>
      <c r="AB2590" s="57"/>
      <c r="AC2590" s="57"/>
      <c r="AD2590" s="57"/>
      <c r="AE2590" s="57"/>
      <c r="AF2590" s="57"/>
    </row>
    <row r="2591" spans="1:32" x14ac:dyDescent="0.2">
      <c r="A2591" s="57"/>
      <c r="B2591" s="57"/>
      <c r="C2591" s="57"/>
      <c r="D2591" s="57"/>
      <c r="E2591" s="57"/>
      <c r="F2591" s="985"/>
      <c r="G2591" s="57"/>
      <c r="H2591" s="57"/>
      <c r="I2591" s="990"/>
      <c r="J2591" s="57"/>
      <c r="K2591" s="57"/>
      <c r="L2591" s="57"/>
      <c r="M2591" s="57"/>
      <c r="N2591" s="57"/>
      <c r="O2591" s="57"/>
      <c r="P2591" s="57"/>
      <c r="Q2591" s="57"/>
      <c r="R2591" s="57"/>
      <c r="S2591" s="57"/>
      <c r="T2591" s="57"/>
      <c r="U2591" s="57"/>
      <c r="V2591" s="57"/>
      <c r="W2591" s="57"/>
      <c r="X2591" s="57"/>
      <c r="Y2591" s="57"/>
      <c r="Z2591" s="57"/>
      <c r="AA2591" s="57"/>
      <c r="AB2591" s="57"/>
      <c r="AC2591" s="57"/>
      <c r="AD2591" s="57"/>
      <c r="AE2591" s="57"/>
      <c r="AF2591" s="57"/>
    </row>
    <row r="2592" spans="1:32" x14ac:dyDescent="0.2">
      <c r="A2592" s="57"/>
      <c r="B2592" s="57"/>
      <c r="C2592" s="57"/>
      <c r="D2592" s="57"/>
      <c r="E2592" s="57"/>
      <c r="F2592" s="985"/>
      <c r="G2592" s="57"/>
      <c r="H2592" s="57"/>
      <c r="I2592" s="990"/>
      <c r="J2592" s="57"/>
      <c r="K2592" s="57"/>
      <c r="L2592" s="57"/>
      <c r="M2592" s="57"/>
      <c r="N2592" s="57"/>
      <c r="O2592" s="57"/>
      <c r="P2592" s="57"/>
      <c r="Q2592" s="57"/>
      <c r="R2592" s="57"/>
      <c r="S2592" s="57"/>
      <c r="T2592" s="57"/>
      <c r="U2592" s="57"/>
      <c r="V2592" s="57"/>
      <c r="W2592" s="57"/>
      <c r="X2592" s="57"/>
      <c r="Y2592" s="57"/>
      <c r="Z2592" s="57"/>
      <c r="AA2592" s="57"/>
      <c r="AB2592" s="57"/>
      <c r="AC2592" s="57"/>
      <c r="AD2592" s="57"/>
      <c r="AE2592" s="57"/>
      <c r="AF2592" s="57"/>
    </row>
    <row r="2593" spans="1:32" x14ac:dyDescent="0.2">
      <c r="A2593" s="57"/>
      <c r="B2593" s="57"/>
      <c r="C2593" s="57"/>
      <c r="D2593" s="57"/>
      <c r="E2593" s="57"/>
      <c r="F2593" s="985"/>
      <c r="G2593" s="57"/>
      <c r="H2593" s="57"/>
      <c r="I2593" s="990"/>
      <c r="J2593" s="57"/>
      <c r="K2593" s="57"/>
      <c r="L2593" s="57"/>
      <c r="M2593" s="57"/>
      <c r="N2593" s="57"/>
      <c r="O2593" s="57"/>
      <c r="P2593" s="57"/>
      <c r="Q2593" s="57"/>
      <c r="R2593" s="57"/>
      <c r="S2593" s="57"/>
      <c r="T2593" s="57"/>
      <c r="U2593" s="57"/>
      <c r="V2593" s="57"/>
      <c r="W2593" s="57"/>
      <c r="X2593" s="57"/>
      <c r="Y2593" s="57"/>
      <c r="Z2593" s="57"/>
      <c r="AA2593" s="57"/>
      <c r="AB2593" s="57"/>
      <c r="AC2593" s="57"/>
      <c r="AD2593" s="57"/>
      <c r="AE2593" s="57"/>
      <c r="AF2593" s="57"/>
    </row>
    <row r="2594" spans="1:32" x14ac:dyDescent="0.2">
      <c r="A2594" s="57"/>
      <c r="B2594" s="57"/>
      <c r="C2594" s="57"/>
      <c r="D2594" s="57"/>
      <c r="E2594" s="57"/>
      <c r="F2594" s="985"/>
      <c r="G2594" s="57"/>
      <c r="H2594" s="57"/>
      <c r="I2594" s="990"/>
      <c r="J2594" s="57"/>
      <c r="K2594" s="57"/>
      <c r="L2594" s="57"/>
      <c r="M2594" s="57"/>
      <c r="N2594" s="57"/>
      <c r="O2594" s="57"/>
      <c r="P2594" s="57"/>
      <c r="Q2594" s="57"/>
      <c r="R2594" s="57"/>
      <c r="S2594" s="57"/>
      <c r="T2594" s="57"/>
      <c r="U2594" s="57"/>
      <c r="V2594" s="57"/>
      <c r="W2594" s="57"/>
      <c r="X2594" s="57"/>
      <c r="Y2594" s="57"/>
      <c r="Z2594" s="57"/>
      <c r="AA2594" s="57"/>
      <c r="AB2594" s="57"/>
      <c r="AC2594" s="57"/>
      <c r="AD2594" s="57"/>
      <c r="AE2594" s="57"/>
      <c r="AF2594" s="57"/>
    </row>
    <row r="2595" spans="1:32" x14ac:dyDescent="0.2">
      <c r="A2595" s="57"/>
      <c r="B2595" s="57"/>
      <c r="C2595" s="57"/>
      <c r="D2595" s="57"/>
      <c r="E2595" s="57"/>
      <c r="F2595" s="985"/>
      <c r="G2595" s="57"/>
      <c r="H2595" s="57"/>
      <c r="I2595" s="990"/>
      <c r="J2595" s="57"/>
      <c r="K2595" s="57"/>
      <c r="L2595" s="57"/>
      <c r="M2595" s="57"/>
      <c r="N2595" s="57"/>
      <c r="O2595" s="57"/>
      <c r="P2595" s="57"/>
      <c r="Q2595" s="57"/>
      <c r="R2595" s="57"/>
      <c r="S2595" s="57"/>
      <c r="T2595" s="57"/>
      <c r="U2595" s="57"/>
      <c r="V2595" s="57"/>
      <c r="W2595" s="57"/>
      <c r="X2595" s="57"/>
      <c r="Y2595" s="57"/>
      <c r="Z2595" s="57"/>
      <c r="AA2595" s="57"/>
      <c r="AB2595" s="57"/>
      <c r="AC2595" s="57"/>
      <c r="AD2595" s="57"/>
      <c r="AE2595" s="57"/>
      <c r="AF2595" s="57"/>
    </row>
    <row r="2596" spans="1:32" x14ac:dyDescent="0.2">
      <c r="A2596" s="57"/>
      <c r="B2596" s="57"/>
      <c r="C2596" s="57"/>
      <c r="D2596" s="57"/>
      <c r="E2596" s="57"/>
      <c r="F2596" s="985"/>
      <c r="G2596" s="57"/>
      <c r="H2596" s="57"/>
      <c r="I2596" s="990"/>
      <c r="J2596" s="57"/>
      <c r="K2596" s="57"/>
      <c r="L2596" s="57"/>
      <c r="M2596" s="57"/>
      <c r="N2596" s="57"/>
      <c r="O2596" s="57"/>
      <c r="P2596" s="57"/>
      <c r="Q2596" s="57"/>
      <c r="R2596" s="57"/>
      <c r="S2596" s="57"/>
      <c r="T2596" s="57"/>
      <c r="U2596" s="57"/>
      <c r="V2596" s="57"/>
      <c r="W2596" s="57"/>
      <c r="X2596" s="57"/>
      <c r="Y2596" s="57"/>
      <c r="Z2596" s="57"/>
      <c r="AA2596" s="57"/>
      <c r="AB2596" s="57"/>
      <c r="AC2596" s="57"/>
      <c r="AD2596" s="57"/>
      <c r="AE2596" s="57"/>
      <c r="AF2596" s="57"/>
    </row>
    <row r="2597" spans="1:32" x14ac:dyDescent="0.2">
      <c r="A2597" s="57"/>
      <c r="B2597" s="57"/>
      <c r="C2597" s="57"/>
      <c r="D2597" s="57"/>
      <c r="E2597" s="57"/>
      <c r="F2597" s="985"/>
      <c r="G2597" s="57"/>
      <c r="H2597" s="57"/>
      <c r="I2597" s="990"/>
      <c r="J2597" s="57"/>
      <c r="K2597" s="57"/>
      <c r="L2597" s="57"/>
      <c r="M2597" s="57"/>
      <c r="N2597" s="57"/>
      <c r="O2597" s="57"/>
      <c r="P2597" s="57"/>
      <c r="Q2597" s="57"/>
      <c r="R2597" s="57"/>
      <c r="S2597" s="57"/>
      <c r="T2597" s="57"/>
      <c r="U2597" s="57"/>
      <c r="V2597" s="57"/>
      <c r="W2597" s="57"/>
      <c r="X2597" s="57"/>
      <c r="Y2597" s="57"/>
      <c r="Z2597" s="57"/>
      <c r="AA2597" s="57"/>
      <c r="AB2597" s="57"/>
      <c r="AC2597" s="57"/>
      <c r="AD2597" s="57"/>
      <c r="AE2597" s="57"/>
      <c r="AF2597" s="57"/>
    </row>
    <row r="2598" spans="1:32" x14ac:dyDescent="0.2">
      <c r="A2598" s="57"/>
      <c r="B2598" s="57"/>
      <c r="C2598" s="57"/>
      <c r="D2598" s="57"/>
      <c r="E2598" s="57"/>
      <c r="F2598" s="985"/>
      <c r="G2598" s="57"/>
      <c r="H2598" s="57"/>
      <c r="I2598" s="990"/>
      <c r="J2598" s="57"/>
      <c r="K2598" s="57"/>
      <c r="L2598" s="57"/>
      <c r="M2598" s="57"/>
      <c r="N2598" s="57"/>
      <c r="O2598" s="57"/>
      <c r="P2598" s="57"/>
      <c r="Q2598" s="57"/>
      <c r="R2598" s="57"/>
      <c r="S2598" s="57"/>
      <c r="T2598" s="57"/>
      <c r="U2598" s="57"/>
      <c r="V2598" s="57"/>
      <c r="W2598" s="57"/>
      <c r="X2598" s="57"/>
      <c r="Y2598" s="57"/>
      <c r="Z2598" s="57"/>
      <c r="AA2598" s="57"/>
      <c r="AB2598" s="57"/>
      <c r="AC2598" s="57"/>
      <c r="AD2598" s="57"/>
      <c r="AE2598" s="57"/>
      <c r="AF2598" s="57"/>
    </row>
    <row r="2599" spans="1:32" x14ac:dyDescent="0.2">
      <c r="A2599" s="57"/>
      <c r="B2599" s="57"/>
      <c r="C2599" s="57"/>
      <c r="D2599" s="57"/>
      <c r="E2599" s="57"/>
      <c r="F2599" s="985"/>
      <c r="G2599" s="57"/>
      <c r="H2599" s="57"/>
      <c r="I2599" s="990"/>
      <c r="J2599" s="57"/>
      <c r="K2599" s="57"/>
      <c r="L2599" s="57"/>
      <c r="M2599" s="57"/>
      <c r="N2599" s="57"/>
      <c r="O2599" s="57"/>
      <c r="P2599" s="57"/>
      <c r="Q2599" s="57"/>
      <c r="R2599" s="57"/>
      <c r="S2599" s="57"/>
      <c r="T2599" s="57"/>
      <c r="U2599" s="57"/>
      <c r="V2599" s="57"/>
      <c r="W2599" s="57"/>
      <c r="X2599" s="57"/>
      <c r="Y2599" s="57"/>
      <c r="Z2599" s="57"/>
      <c r="AA2599" s="57"/>
      <c r="AB2599" s="57"/>
      <c r="AC2599" s="57"/>
      <c r="AD2599" s="57"/>
      <c r="AE2599" s="57"/>
      <c r="AF2599" s="57"/>
    </row>
    <row r="2600" spans="1:32" x14ac:dyDescent="0.2">
      <c r="A2600" s="57"/>
      <c r="B2600" s="57"/>
      <c r="C2600" s="57"/>
      <c r="D2600" s="57"/>
      <c r="E2600" s="57"/>
      <c r="F2600" s="985"/>
      <c r="G2600" s="57"/>
      <c r="H2600" s="57"/>
      <c r="I2600" s="990"/>
      <c r="J2600" s="57"/>
      <c r="K2600" s="57"/>
      <c r="L2600" s="57"/>
      <c r="M2600" s="57"/>
      <c r="N2600" s="57"/>
      <c r="O2600" s="57"/>
      <c r="P2600" s="57"/>
      <c r="Q2600" s="57"/>
      <c r="R2600" s="57"/>
      <c r="S2600" s="57"/>
      <c r="T2600" s="57"/>
      <c r="U2600" s="57"/>
      <c r="V2600" s="57"/>
      <c r="W2600" s="57"/>
      <c r="X2600" s="57"/>
      <c r="Y2600" s="57"/>
      <c r="Z2600" s="57"/>
      <c r="AA2600" s="57"/>
      <c r="AB2600" s="57"/>
      <c r="AC2600" s="57"/>
      <c r="AD2600" s="57"/>
      <c r="AE2600" s="57"/>
      <c r="AF2600" s="57"/>
    </row>
    <row r="2601" spans="1:32" x14ac:dyDescent="0.2">
      <c r="A2601" s="57"/>
      <c r="B2601" s="57"/>
      <c r="C2601" s="57"/>
      <c r="D2601" s="57"/>
      <c r="E2601" s="57"/>
      <c r="F2601" s="985"/>
      <c r="G2601" s="57"/>
      <c r="H2601" s="57"/>
      <c r="I2601" s="990"/>
      <c r="J2601" s="57"/>
      <c r="K2601" s="57"/>
      <c r="L2601" s="57"/>
      <c r="M2601" s="57"/>
      <c r="N2601" s="57"/>
      <c r="O2601" s="57"/>
      <c r="P2601" s="57"/>
      <c r="Q2601" s="57"/>
      <c r="R2601" s="57"/>
      <c r="S2601" s="57"/>
      <c r="T2601" s="57"/>
      <c r="U2601" s="57"/>
      <c r="V2601" s="57"/>
      <c r="W2601" s="57"/>
      <c r="X2601" s="57"/>
      <c r="Y2601" s="57"/>
      <c r="Z2601" s="57"/>
      <c r="AA2601" s="57"/>
      <c r="AB2601" s="57"/>
      <c r="AC2601" s="57"/>
      <c r="AD2601" s="57"/>
      <c r="AE2601" s="57"/>
      <c r="AF2601" s="57"/>
    </row>
    <row r="2602" spans="1:32" x14ac:dyDescent="0.2">
      <c r="A2602" s="57"/>
      <c r="B2602" s="57"/>
      <c r="C2602" s="57"/>
      <c r="D2602" s="57"/>
      <c r="E2602" s="57"/>
      <c r="F2602" s="985"/>
      <c r="G2602" s="57"/>
      <c r="H2602" s="57"/>
      <c r="I2602" s="990"/>
      <c r="J2602" s="57"/>
      <c r="K2602" s="57"/>
      <c r="L2602" s="57"/>
      <c r="M2602" s="57"/>
      <c r="N2602" s="57"/>
      <c r="O2602" s="57"/>
      <c r="P2602" s="57"/>
      <c r="Q2602" s="57"/>
      <c r="R2602" s="57"/>
      <c r="S2602" s="57"/>
      <c r="T2602" s="57"/>
      <c r="U2602" s="57"/>
      <c r="V2602" s="57"/>
      <c r="W2602" s="57"/>
      <c r="X2602" s="57"/>
      <c r="Y2602" s="57"/>
      <c r="Z2602" s="57"/>
      <c r="AA2602" s="57"/>
      <c r="AB2602" s="57"/>
      <c r="AC2602" s="57"/>
      <c r="AD2602" s="57"/>
      <c r="AE2602" s="57"/>
      <c r="AF2602" s="57"/>
    </row>
    <row r="2603" spans="1:32" x14ac:dyDescent="0.2">
      <c r="A2603" s="57"/>
      <c r="B2603" s="57"/>
      <c r="C2603" s="57"/>
      <c r="D2603" s="57"/>
      <c r="E2603" s="57"/>
      <c r="F2603" s="985"/>
      <c r="G2603" s="57"/>
      <c r="H2603" s="57"/>
      <c r="I2603" s="990"/>
      <c r="J2603" s="57"/>
      <c r="K2603" s="57"/>
      <c r="L2603" s="57"/>
      <c r="M2603" s="57"/>
      <c r="N2603" s="57"/>
      <c r="O2603" s="57"/>
      <c r="P2603" s="57"/>
      <c r="Q2603" s="57"/>
      <c r="R2603" s="57"/>
      <c r="S2603" s="57"/>
      <c r="T2603" s="57"/>
      <c r="U2603" s="57"/>
      <c r="V2603" s="57"/>
      <c r="W2603" s="57"/>
      <c r="X2603" s="57"/>
      <c r="Y2603" s="57"/>
      <c r="Z2603" s="57"/>
      <c r="AA2603" s="57"/>
      <c r="AB2603" s="57"/>
      <c r="AC2603" s="57"/>
      <c r="AD2603" s="57"/>
      <c r="AE2603" s="57"/>
      <c r="AF2603" s="57"/>
    </row>
    <row r="2604" spans="1:32" x14ac:dyDescent="0.2">
      <c r="A2604" s="57"/>
      <c r="B2604" s="57"/>
      <c r="C2604" s="57"/>
      <c r="D2604" s="57"/>
      <c r="E2604" s="57"/>
      <c r="F2604" s="985"/>
      <c r="G2604" s="57"/>
      <c r="H2604" s="57"/>
      <c r="I2604" s="990"/>
      <c r="J2604" s="57"/>
      <c r="K2604" s="57"/>
      <c r="L2604" s="57"/>
      <c r="M2604" s="57"/>
      <c r="N2604" s="57"/>
      <c r="O2604" s="57"/>
      <c r="P2604" s="57"/>
      <c r="Q2604" s="57"/>
      <c r="R2604" s="57"/>
      <c r="S2604" s="57"/>
      <c r="T2604" s="57"/>
      <c r="U2604" s="57"/>
      <c r="V2604" s="57"/>
      <c r="W2604" s="57"/>
      <c r="X2604" s="57"/>
      <c r="Y2604" s="57"/>
      <c r="Z2604" s="57"/>
      <c r="AA2604" s="57"/>
      <c r="AB2604" s="57"/>
      <c r="AC2604" s="57"/>
      <c r="AD2604" s="57"/>
      <c r="AE2604" s="57"/>
      <c r="AF2604" s="57"/>
    </row>
    <row r="2605" spans="1:32" x14ac:dyDescent="0.2">
      <c r="A2605" s="57"/>
      <c r="B2605" s="57"/>
      <c r="C2605" s="57"/>
      <c r="D2605" s="57"/>
      <c r="E2605" s="57"/>
      <c r="F2605" s="985"/>
      <c r="G2605" s="57"/>
      <c r="H2605" s="57"/>
      <c r="I2605" s="990"/>
      <c r="J2605" s="57"/>
      <c r="K2605" s="57"/>
      <c r="L2605" s="57"/>
      <c r="M2605" s="57"/>
      <c r="N2605" s="57"/>
      <c r="O2605" s="57"/>
      <c r="P2605" s="57"/>
      <c r="Q2605" s="57"/>
      <c r="R2605" s="57"/>
      <c r="S2605" s="57"/>
      <c r="T2605" s="57"/>
      <c r="U2605" s="57"/>
      <c r="V2605" s="57"/>
      <c r="W2605" s="57"/>
      <c r="X2605" s="57"/>
      <c r="Y2605" s="57"/>
      <c r="Z2605" s="57"/>
      <c r="AA2605" s="57"/>
      <c r="AB2605" s="57"/>
      <c r="AC2605" s="57"/>
      <c r="AD2605" s="57"/>
      <c r="AE2605" s="57"/>
      <c r="AF2605" s="57"/>
    </row>
    <row r="2606" spans="1:32" x14ac:dyDescent="0.2">
      <c r="A2606" s="57"/>
      <c r="B2606" s="57"/>
      <c r="C2606" s="57"/>
      <c r="D2606" s="57"/>
      <c r="E2606" s="57"/>
      <c r="F2606" s="985"/>
      <c r="G2606" s="57"/>
      <c r="H2606" s="57"/>
      <c r="I2606" s="990"/>
      <c r="J2606" s="57"/>
      <c r="K2606" s="57"/>
      <c r="L2606" s="57"/>
      <c r="M2606" s="57"/>
      <c r="N2606" s="57"/>
      <c r="O2606" s="57"/>
      <c r="P2606" s="57"/>
      <c r="Q2606" s="57"/>
      <c r="R2606" s="57"/>
      <c r="S2606" s="57"/>
      <c r="T2606" s="57"/>
      <c r="U2606" s="57"/>
      <c r="V2606" s="57"/>
      <c r="W2606" s="57"/>
      <c r="X2606" s="57"/>
      <c r="Y2606" s="57"/>
      <c r="Z2606" s="57"/>
      <c r="AA2606" s="57"/>
      <c r="AB2606" s="57"/>
      <c r="AC2606" s="57"/>
      <c r="AD2606" s="57"/>
      <c r="AE2606" s="57"/>
      <c r="AF2606" s="57"/>
    </row>
    <row r="2607" spans="1:32" x14ac:dyDescent="0.2">
      <c r="A2607" s="57"/>
      <c r="B2607" s="57"/>
      <c r="C2607" s="57"/>
      <c r="D2607" s="57"/>
      <c r="E2607" s="57"/>
      <c r="F2607" s="985"/>
      <c r="G2607" s="57"/>
      <c r="H2607" s="57"/>
      <c r="I2607" s="990"/>
      <c r="J2607" s="57"/>
      <c r="K2607" s="57"/>
      <c r="L2607" s="57"/>
      <c r="M2607" s="57"/>
      <c r="N2607" s="57"/>
      <c r="O2607" s="57"/>
      <c r="P2607" s="57"/>
      <c r="Q2607" s="57"/>
      <c r="R2607" s="57"/>
      <c r="S2607" s="57"/>
      <c r="T2607" s="57"/>
      <c r="U2607" s="57"/>
      <c r="V2607" s="57"/>
      <c r="W2607" s="57"/>
      <c r="X2607" s="57"/>
      <c r="Y2607" s="57"/>
      <c r="Z2607" s="57"/>
      <c r="AA2607" s="57"/>
      <c r="AB2607" s="57"/>
      <c r="AC2607" s="57"/>
      <c r="AD2607" s="57"/>
      <c r="AE2607" s="57"/>
      <c r="AF2607" s="57"/>
    </row>
    <row r="2608" spans="1:32" x14ac:dyDescent="0.2">
      <c r="A2608" s="57"/>
      <c r="B2608" s="57"/>
      <c r="C2608" s="57"/>
      <c r="D2608" s="57"/>
      <c r="E2608" s="57"/>
      <c r="F2608" s="985"/>
      <c r="G2608" s="57"/>
      <c r="H2608" s="57"/>
      <c r="I2608" s="990"/>
      <c r="J2608" s="57"/>
      <c r="K2608" s="57"/>
      <c r="L2608" s="57"/>
      <c r="M2608" s="57"/>
      <c r="N2608" s="57"/>
      <c r="O2608" s="57"/>
      <c r="P2608" s="57"/>
      <c r="Q2608" s="57"/>
      <c r="R2608" s="57"/>
      <c r="S2608" s="57"/>
      <c r="T2608" s="57"/>
      <c r="U2608" s="57"/>
      <c r="V2608" s="57"/>
      <c r="W2608" s="57"/>
      <c r="X2608" s="57"/>
      <c r="Y2608" s="57"/>
      <c r="Z2608" s="57"/>
      <c r="AA2608" s="57"/>
      <c r="AB2608" s="57"/>
      <c r="AC2608" s="57"/>
      <c r="AD2608" s="57"/>
      <c r="AE2608" s="57"/>
      <c r="AF2608" s="57"/>
    </row>
    <row r="2609" spans="1:32" x14ac:dyDescent="0.2">
      <c r="A2609" s="57"/>
      <c r="B2609" s="57"/>
      <c r="C2609" s="57"/>
      <c r="D2609" s="57"/>
      <c r="E2609" s="57"/>
      <c r="F2609" s="985"/>
      <c r="G2609" s="57"/>
      <c r="H2609" s="57"/>
      <c r="I2609" s="990"/>
      <c r="J2609" s="57"/>
      <c r="K2609" s="57"/>
      <c r="L2609" s="57"/>
      <c r="M2609" s="57"/>
      <c r="N2609" s="57"/>
      <c r="O2609" s="57"/>
      <c r="P2609" s="57"/>
      <c r="Q2609" s="57"/>
      <c r="R2609" s="57"/>
      <c r="S2609" s="57"/>
      <c r="T2609" s="57"/>
      <c r="U2609" s="57"/>
      <c r="V2609" s="57"/>
      <c r="W2609" s="57"/>
      <c r="X2609" s="57"/>
      <c r="Y2609" s="57"/>
      <c r="Z2609" s="57"/>
      <c r="AA2609" s="57"/>
      <c r="AB2609" s="57"/>
      <c r="AC2609" s="57"/>
      <c r="AD2609" s="57"/>
      <c r="AE2609" s="57"/>
      <c r="AF2609" s="57"/>
    </row>
    <row r="2610" spans="1:32" x14ac:dyDescent="0.2">
      <c r="A2610" s="57"/>
      <c r="B2610" s="57"/>
      <c r="C2610" s="57"/>
      <c r="D2610" s="57"/>
      <c r="E2610" s="57"/>
      <c r="F2610" s="985"/>
      <c r="G2610" s="57"/>
      <c r="H2610" s="57"/>
      <c r="I2610" s="990"/>
      <c r="J2610" s="57"/>
      <c r="K2610" s="57"/>
      <c r="L2610" s="57"/>
      <c r="M2610" s="57"/>
      <c r="N2610" s="57"/>
      <c r="O2610" s="57"/>
      <c r="P2610" s="57"/>
      <c r="Q2610" s="57"/>
      <c r="R2610" s="57"/>
      <c r="S2610" s="57"/>
      <c r="T2610" s="57"/>
      <c r="U2610" s="57"/>
      <c r="V2610" s="57"/>
      <c r="W2610" s="57"/>
      <c r="X2610" s="57"/>
      <c r="Y2610" s="57"/>
      <c r="Z2610" s="57"/>
      <c r="AA2610" s="57"/>
      <c r="AB2610" s="57"/>
      <c r="AC2610" s="57"/>
      <c r="AD2610" s="57"/>
      <c r="AE2610" s="57"/>
      <c r="AF2610" s="57"/>
    </row>
    <row r="2611" spans="1:32" x14ac:dyDescent="0.2">
      <c r="A2611" s="57"/>
      <c r="B2611" s="57"/>
      <c r="C2611" s="57"/>
      <c r="D2611" s="57"/>
      <c r="E2611" s="57"/>
      <c r="F2611" s="985"/>
      <c r="G2611" s="57"/>
      <c r="H2611" s="57"/>
      <c r="I2611" s="990"/>
      <c r="J2611" s="57"/>
      <c r="K2611" s="57"/>
      <c r="L2611" s="57"/>
      <c r="M2611" s="57"/>
      <c r="N2611" s="57"/>
      <c r="O2611" s="57"/>
      <c r="P2611" s="57"/>
      <c r="Q2611" s="57"/>
      <c r="R2611" s="57"/>
      <c r="S2611" s="57"/>
      <c r="T2611" s="57"/>
      <c r="U2611" s="57"/>
      <c r="V2611" s="57"/>
      <c r="W2611" s="57"/>
      <c r="X2611" s="57"/>
      <c r="Y2611" s="57"/>
      <c r="Z2611" s="57"/>
      <c r="AA2611" s="57"/>
      <c r="AB2611" s="57"/>
      <c r="AC2611" s="57"/>
      <c r="AD2611" s="57"/>
      <c r="AE2611" s="57"/>
      <c r="AF2611" s="57"/>
    </row>
    <row r="2612" spans="1:32" x14ac:dyDescent="0.2">
      <c r="A2612" s="57"/>
      <c r="B2612" s="57"/>
      <c r="C2612" s="57"/>
      <c r="D2612" s="57"/>
      <c r="E2612" s="57"/>
      <c r="F2612" s="985"/>
      <c r="G2612" s="57"/>
      <c r="H2612" s="57"/>
      <c r="I2612" s="990"/>
      <c r="J2612" s="57"/>
      <c r="K2612" s="57"/>
      <c r="L2612" s="57"/>
      <c r="M2612" s="57"/>
      <c r="N2612" s="57"/>
      <c r="O2612" s="57"/>
      <c r="P2612" s="57"/>
      <c r="Q2612" s="57"/>
      <c r="R2612" s="57"/>
      <c r="S2612" s="57"/>
      <c r="T2612" s="57"/>
      <c r="U2612" s="57"/>
      <c r="V2612" s="57"/>
      <c r="W2612" s="57"/>
      <c r="X2612" s="57"/>
      <c r="Y2612" s="57"/>
      <c r="Z2612" s="57"/>
      <c r="AA2612" s="57"/>
      <c r="AB2612" s="57"/>
      <c r="AC2612" s="57"/>
      <c r="AD2612" s="57"/>
      <c r="AE2612" s="57"/>
      <c r="AF2612" s="57"/>
    </row>
    <row r="2613" spans="1:32" x14ac:dyDescent="0.2">
      <c r="A2613" s="57"/>
      <c r="B2613" s="57"/>
      <c r="C2613" s="57"/>
      <c r="D2613" s="57"/>
      <c r="E2613" s="57"/>
      <c r="F2613" s="985"/>
      <c r="G2613" s="57"/>
      <c r="H2613" s="57"/>
      <c r="I2613" s="990"/>
      <c r="J2613" s="57"/>
      <c r="K2613" s="57"/>
      <c r="L2613" s="57"/>
      <c r="M2613" s="57"/>
      <c r="N2613" s="57"/>
      <c r="O2613" s="57"/>
      <c r="P2613" s="57"/>
      <c r="Q2613" s="57"/>
      <c r="R2613" s="57"/>
      <c r="S2613" s="57"/>
      <c r="T2613" s="57"/>
      <c r="U2613" s="57"/>
      <c r="V2613" s="57"/>
      <c r="W2613" s="57"/>
      <c r="X2613" s="57"/>
      <c r="Y2613" s="57"/>
      <c r="Z2613" s="57"/>
      <c r="AA2613" s="57"/>
      <c r="AB2613" s="57"/>
      <c r="AC2613" s="57"/>
      <c r="AD2613" s="57"/>
      <c r="AE2613" s="57"/>
      <c r="AF2613" s="57"/>
    </row>
    <row r="2614" spans="1:32" x14ac:dyDescent="0.2">
      <c r="A2614" s="57"/>
      <c r="B2614" s="57"/>
      <c r="C2614" s="57"/>
      <c r="D2614" s="57"/>
      <c r="E2614" s="57"/>
      <c r="F2614" s="985"/>
      <c r="G2614" s="57"/>
      <c r="H2614" s="57"/>
      <c r="I2614" s="990"/>
      <c r="J2614" s="57"/>
      <c r="K2614" s="57"/>
      <c r="L2614" s="57"/>
      <c r="M2614" s="57"/>
      <c r="N2614" s="57"/>
      <c r="O2614" s="57"/>
      <c r="P2614" s="57"/>
      <c r="Q2614" s="57"/>
      <c r="R2614" s="57"/>
      <c r="S2614" s="57"/>
      <c r="T2614" s="57"/>
      <c r="U2614" s="57"/>
      <c r="V2614" s="57"/>
      <c r="W2614" s="57"/>
      <c r="X2614" s="57"/>
      <c r="Y2614" s="57"/>
      <c r="Z2614" s="57"/>
      <c r="AA2614" s="57"/>
      <c r="AB2614" s="57"/>
      <c r="AC2614" s="57"/>
      <c r="AD2614" s="57"/>
      <c r="AE2614" s="57"/>
      <c r="AF2614" s="57"/>
    </row>
    <row r="2615" spans="1:32" x14ac:dyDescent="0.2">
      <c r="A2615" s="57"/>
      <c r="B2615" s="57"/>
      <c r="C2615" s="57"/>
      <c r="D2615" s="57"/>
      <c r="E2615" s="57"/>
      <c r="F2615" s="985"/>
      <c r="G2615" s="57"/>
      <c r="H2615" s="57"/>
      <c r="I2615" s="990"/>
      <c r="J2615" s="57"/>
      <c r="K2615" s="57"/>
      <c r="L2615" s="57"/>
      <c r="M2615" s="57"/>
      <c r="N2615" s="57"/>
      <c r="O2615" s="57"/>
      <c r="P2615" s="57"/>
      <c r="Q2615" s="57"/>
      <c r="R2615" s="57"/>
      <c r="S2615" s="57"/>
      <c r="T2615" s="57"/>
      <c r="U2615" s="57"/>
      <c r="V2615" s="57"/>
      <c r="W2615" s="57"/>
      <c r="X2615" s="57"/>
      <c r="Y2615" s="57"/>
      <c r="Z2615" s="57"/>
      <c r="AA2615" s="57"/>
      <c r="AB2615" s="57"/>
      <c r="AC2615" s="57"/>
      <c r="AD2615" s="57"/>
      <c r="AE2615" s="57"/>
      <c r="AF2615" s="57"/>
    </row>
    <row r="2616" spans="1:32" x14ac:dyDescent="0.2">
      <c r="A2616" s="57"/>
      <c r="B2616" s="57"/>
      <c r="C2616" s="57"/>
      <c r="D2616" s="57"/>
      <c r="E2616" s="57"/>
      <c r="F2616" s="985"/>
      <c r="G2616" s="57"/>
      <c r="H2616" s="57"/>
      <c r="I2616" s="990"/>
      <c r="J2616" s="57"/>
      <c r="K2616" s="57"/>
      <c r="L2616" s="57"/>
      <c r="M2616" s="57"/>
      <c r="N2616" s="57"/>
      <c r="O2616" s="57"/>
      <c r="P2616" s="57"/>
      <c r="Q2616" s="57"/>
      <c r="R2616" s="57"/>
      <c r="S2616" s="57"/>
      <c r="T2616" s="57"/>
      <c r="U2616" s="57"/>
      <c r="V2616" s="57"/>
      <c r="W2616" s="57"/>
      <c r="X2616" s="57"/>
      <c r="Y2616" s="57"/>
      <c r="Z2616" s="57"/>
      <c r="AA2616" s="57"/>
      <c r="AB2616" s="57"/>
      <c r="AC2616" s="57"/>
      <c r="AD2616" s="57"/>
      <c r="AE2616" s="57"/>
      <c r="AF2616" s="57"/>
    </row>
    <row r="2617" spans="1:32" x14ac:dyDescent="0.2">
      <c r="A2617" s="57"/>
      <c r="B2617" s="57"/>
      <c r="C2617" s="57"/>
      <c r="D2617" s="57"/>
      <c r="E2617" s="57"/>
      <c r="F2617" s="985"/>
      <c r="G2617" s="57"/>
      <c r="H2617" s="57"/>
      <c r="I2617" s="990"/>
      <c r="J2617" s="57"/>
      <c r="K2617" s="57"/>
      <c r="L2617" s="57"/>
      <c r="M2617" s="57"/>
      <c r="N2617" s="57"/>
      <c r="O2617" s="57"/>
      <c r="P2617" s="57"/>
      <c r="Q2617" s="57"/>
      <c r="R2617" s="57"/>
      <c r="S2617" s="57"/>
      <c r="T2617" s="57"/>
      <c r="U2617" s="57"/>
      <c r="V2617" s="57"/>
      <c r="W2617" s="57"/>
      <c r="X2617" s="57"/>
      <c r="Y2617" s="57"/>
      <c r="Z2617" s="57"/>
      <c r="AA2617" s="57"/>
      <c r="AB2617" s="57"/>
      <c r="AC2617" s="57"/>
      <c r="AD2617" s="57"/>
      <c r="AE2617" s="57"/>
      <c r="AF2617" s="57"/>
    </row>
    <row r="2618" spans="1:32" x14ac:dyDescent="0.2">
      <c r="A2618" s="57"/>
      <c r="B2618" s="57"/>
      <c r="C2618" s="57"/>
      <c r="D2618" s="57"/>
      <c r="E2618" s="57"/>
      <c r="F2618" s="985"/>
      <c r="G2618" s="57"/>
      <c r="H2618" s="57"/>
      <c r="I2618" s="990"/>
      <c r="J2618" s="57"/>
      <c r="K2618" s="57"/>
      <c r="L2618" s="57"/>
      <c r="M2618" s="57"/>
      <c r="N2618" s="57"/>
      <c r="O2618" s="57"/>
      <c r="P2618" s="57"/>
      <c r="Q2618" s="57"/>
      <c r="R2618" s="57"/>
      <c r="S2618" s="57"/>
      <c r="T2618" s="57"/>
      <c r="U2618" s="57"/>
      <c r="V2618" s="57"/>
      <c r="W2618" s="57"/>
      <c r="X2618" s="57"/>
      <c r="Y2618" s="57"/>
      <c r="Z2618" s="57"/>
      <c r="AA2618" s="57"/>
      <c r="AB2618" s="57"/>
      <c r="AC2618" s="57"/>
      <c r="AD2618" s="57"/>
      <c r="AE2618" s="57"/>
      <c r="AF2618" s="57"/>
    </row>
    <row r="2619" spans="1:32" x14ac:dyDescent="0.2">
      <c r="A2619" s="57"/>
      <c r="B2619" s="57"/>
      <c r="C2619" s="57"/>
      <c r="D2619" s="57"/>
      <c r="E2619" s="57"/>
      <c r="F2619" s="985"/>
      <c r="G2619" s="57"/>
      <c r="H2619" s="57"/>
      <c r="I2619" s="990"/>
      <c r="J2619" s="57"/>
      <c r="K2619" s="57"/>
      <c r="L2619" s="57"/>
      <c r="M2619" s="57"/>
      <c r="N2619" s="57"/>
      <c r="O2619" s="57"/>
      <c r="P2619" s="57"/>
      <c r="Q2619" s="57"/>
      <c r="R2619" s="57"/>
      <c r="S2619" s="57"/>
      <c r="T2619" s="57"/>
      <c r="U2619" s="57"/>
      <c r="V2619" s="57"/>
      <c r="W2619" s="57"/>
      <c r="X2619" s="57"/>
      <c r="Y2619" s="57"/>
      <c r="Z2619" s="57"/>
      <c r="AA2619" s="57"/>
      <c r="AB2619" s="57"/>
      <c r="AC2619" s="57"/>
      <c r="AD2619" s="57"/>
      <c r="AE2619" s="57"/>
      <c r="AF2619" s="57"/>
    </row>
    <row r="2620" spans="1:32" x14ac:dyDescent="0.2">
      <c r="A2620" s="57"/>
      <c r="B2620" s="57"/>
      <c r="C2620" s="57"/>
      <c r="D2620" s="57"/>
      <c r="E2620" s="57"/>
      <c r="F2620" s="985"/>
      <c r="G2620" s="57"/>
      <c r="H2620" s="57"/>
      <c r="I2620" s="990"/>
      <c r="J2620" s="57"/>
      <c r="K2620" s="57"/>
      <c r="L2620" s="57"/>
      <c r="M2620" s="57"/>
      <c r="N2620" s="57"/>
      <c r="O2620" s="57"/>
      <c r="P2620" s="57"/>
      <c r="Q2620" s="57"/>
      <c r="R2620" s="57"/>
      <c r="S2620" s="57"/>
      <c r="T2620" s="57"/>
      <c r="U2620" s="57"/>
      <c r="V2620" s="57"/>
      <c r="W2620" s="57"/>
      <c r="X2620" s="57"/>
      <c r="Y2620" s="57"/>
      <c r="Z2620" s="57"/>
      <c r="AA2620" s="57"/>
      <c r="AB2620" s="57"/>
      <c r="AC2620" s="57"/>
      <c r="AD2620" s="57"/>
      <c r="AE2620" s="57"/>
      <c r="AF2620" s="57"/>
    </row>
    <row r="2621" spans="1:32" x14ac:dyDescent="0.2">
      <c r="A2621" s="57"/>
      <c r="B2621" s="57"/>
      <c r="C2621" s="57"/>
      <c r="D2621" s="57"/>
      <c r="E2621" s="57"/>
      <c r="F2621" s="985"/>
      <c r="G2621" s="57"/>
      <c r="H2621" s="57"/>
      <c r="I2621" s="990"/>
      <c r="J2621" s="57"/>
      <c r="K2621" s="57"/>
      <c r="L2621" s="57"/>
      <c r="M2621" s="57"/>
      <c r="N2621" s="57"/>
      <c r="O2621" s="57"/>
      <c r="P2621" s="57"/>
      <c r="Q2621" s="57"/>
      <c r="R2621" s="57"/>
      <c r="S2621" s="57"/>
      <c r="T2621" s="57"/>
      <c r="U2621" s="57"/>
      <c r="V2621" s="57"/>
      <c r="W2621" s="57"/>
      <c r="X2621" s="57"/>
      <c r="Y2621" s="57"/>
      <c r="Z2621" s="57"/>
      <c r="AA2621" s="57"/>
      <c r="AB2621" s="57"/>
      <c r="AC2621" s="57"/>
      <c r="AD2621" s="57"/>
      <c r="AE2621" s="57"/>
      <c r="AF2621" s="57"/>
    </row>
    <row r="2622" spans="1:32" x14ac:dyDescent="0.2">
      <c r="A2622" s="57"/>
      <c r="B2622" s="57"/>
      <c r="C2622" s="57"/>
      <c r="D2622" s="57"/>
      <c r="E2622" s="57"/>
      <c r="F2622" s="985"/>
      <c r="G2622" s="57"/>
      <c r="H2622" s="57"/>
      <c r="I2622" s="990"/>
      <c r="J2622" s="57"/>
      <c r="K2622" s="57"/>
      <c r="L2622" s="57"/>
      <c r="M2622" s="57"/>
      <c r="N2622" s="57"/>
      <c r="O2622" s="57"/>
      <c r="P2622" s="57"/>
      <c r="Q2622" s="57"/>
      <c r="R2622" s="57"/>
      <c r="S2622" s="57"/>
      <c r="T2622" s="57"/>
      <c r="U2622" s="57"/>
      <c r="V2622" s="57"/>
      <c r="W2622" s="57"/>
      <c r="X2622" s="57"/>
      <c r="Y2622" s="57"/>
      <c r="Z2622" s="57"/>
      <c r="AA2622" s="57"/>
      <c r="AB2622" s="57"/>
      <c r="AC2622" s="57"/>
      <c r="AD2622" s="57"/>
      <c r="AE2622" s="57"/>
      <c r="AF2622" s="57"/>
    </row>
    <row r="2623" spans="1:32" x14ac:dyDescent="0.2">
      <c r="A2623" s="57"/>
      <c r="B2623" s="57"/>
      <c r="C2623" s="57"/>
      <c r="D2623" s="57"/>
      <c r="E2623" s="57"/>
      <c r="F2623" s="985"/>
      <c r="G2623" s="57"/>
      <c r="H2623" s="57"/>
      <c r="I2623" s="990"/>
      <c r="J2623" s="57"/>
      <c r="K2623" s="57"/>
      <c r="L2623" s="57"/>
      <c r="M2623" s="57"/>
      <c r="N2623" s="57"/>
      <c r="O2623" s="57"/>
      <c r="P2623" s="57"/>
      <c r="Q2623" s="57"/>
      <c r="R2623" s="57"/>
      <c r="S2623" s="57"/>
      <c r="T2623" s="57"/>
      <c r="U2623" s="57"/>
      <c r="V2623" s="57"/>
      <c r="W2623" s="57"/>
      <c r="X2623" s="57"/>
      <c r="Y2623" s="57"/>
      <c r="Z2623" s="57"/>
      <c r="AA2623" s="57"/>
      <c r="AB2623" s="57"/>
      <c r="AC2623" s="57"/>
      <c r="AD2623" s="57"/>
      <c r="AE2623" s="57"/>
      <c r="AF2623" s="57"/>
    </row>
    <row r="2624" spans="1:32" x14ac:dyDescent="0.2">
      <c r="A2624" s="57"/>
      <c r="B2624" s="57"/>
      <c r="C2624" s="57"/>
      <c r="D2624" s="57"/>
      <c r="E2624" s="57"/>
      <c r="F2624" s="985"/>
      <c r="G2624" s="57"/>
      <c r="H2624" s="57"/>
      <c r="I2624" s="990"/>
      <c r="J2624" s="57"/>
      <c r="K2624" s="57"/>
      <c r="L2624" s="57"/>
      <c r="M2624" s="57"/>
      <c r="N2624" s="57"/>
      <c r="O2624" s="57"/>
      <c r="P2624" s="57"/>
      <c r="Q2624" s="57"/>
      <c r="R2624" s="57"/>
      <c r="S2624" s="57"/>
      <c r="T2624" s="57"/>
      <c r="U2624" s="57"/>
      <c r="V2624" s="57"/>
      <c r="W2624" s="57"/>
      <c r="X2624" s="57"/>
      <c r="Y2624" s="57"/>
      <c r="Z2624" s="57"/>
      <c r="AA2624" s="57"/>
      <c r="AB2624" s="57"/>
      <c r="AC2624" s="57"/>
      <c r="AD2624" s="57"/>
      <c r="AE2624" s="57"/>
      <c r="AF2624" s="57"/>
    </row>
    <row r="2625" spans="1:32" x14ac:dyDescent="0.2">
      <c r="A2625" s="57"/>
      <c r="B2625" s="57"/>
      <c r="C2625" s="57"/>
      <c r="D2625" s="57"/>
      <c r="E2625" s="57"/>
      <c r="F2625" s="985"/>
      <c r="G2625" s="57"/>
      <c r="H2625" s="57"/>
      <c r="I2625" s="990"/>
      <c r="J2625" s="57"/>
      <c r="K2625" s="57"/>
      <c r="L2625" s="57"/>
      <c r="M2625" s="57"/>
      <c r="N2625" s="57"/>
      <c r="O2625" s="57"/>
      <c r="P2625" s="57"/>
      <c r="Q2625" s="57"/>
      <c r="R2625" s="57"/>
      <c r="S2625" s="57"/>
      <c r="T2625" s="57"/>
      <c r="U2625" s="57"/>
      <c r="V2625" s="57"/>
      <c r="W2625" s="57"/>
      <c r="X2625" s="57"/>
      <c r="Y2625" s="57"/>
      <c r="Z2625" s="57"/>
      <c r="AA2625" s="57"/>
      <c r="AB2625" s="57"/>
      <c r="AC2625" s="57"/>
      <c r="AD2625" s="57"/>
      <c r="AE2625" s="57"/>
      <c r="AF2625" s="57"/>
    </row>
    <row r="2626" spans="1:32" x14ac:dyDescent="0.2">
      <c r="A2626" s="57"/>
      <c r="B2626" s="57"/>
      <c r="C2626" s="57"/>
      <c r="D2626" s="57"/>
      <c r="E2626" s="57"/>
      <c r="F2626" s="985"/>
      <c r="G2626" s="57"/>
      <c r="H2626" s="57"/>
      <c r="I2626" s="990"/>
      <c r="J2626" s="57"/>
      <c r="K2626" s="57"/>
      <c r="L2626" s="57"/>
      <c r="M2626" s="57"/>
      <c r="N2626" s="57"/>
      <c r="O2626" s="57"/>
      <c r="P2626" s="57"/>
      <c r="Q2626" s="57"/>
      <c r="R2626" s="57"/>
      <c r="S2626" s="57"/>
      <c r="T2626" s="57"/>
      <c r="U2626" s="57"/>
      <c r="V2626" s="57"/>
      <c r="W2626" s="57"/>
      <c r="X2626" s="57"/>
      <c r="Y2626" s="57"/>
      <c r="Z2626" s="57"/>
      <c r="AA2626" s="57"/>
      <c r="AB2626" s="57"/>
      <c r="AC2626" s="57"/>
      <c r="AD2626" s="57"/>
      <c r="AE2626" s="57"/>
      <c r="AF2626" s="57"/>
    </row>
    <row r="2627" spans="1:32" x14ac:dyDescent="0.2">
      <c r="A2627" s="57"/>
      <c r="B2627" s="57"/>
      <c r="C2627" s="57"/>
      <c r="D2627" s="57"/>
      <c r="E2627" s="57"/>
      <c r="F2627" s="985"/>
      <c r="G2627" s="57"/>
      <c r="H2627" s="57"/>
      <c r="I2627" s="990"/>
      <c r="J2627" s="57"/>
      <c r="K2627" s="57"/>
      <c r="L2627" s="57"/>
      <c r="M2627" s="57"/>
      <c r="N2627" s="57"/>
      <c r="O2627" s="57"/>
      <c r="P2627" s="57"/>
      <c r="Q2627" s="57"/>
      <c r="R2627" s="57"/>
      <c r="S2627" s="57"/>
      <c r="T2627" s="57"/>
      <c r="U2627" s="57"/>
      <c r="V2627" s="57"/>
      <c r="W2627" s="57"/>
      <c r="X2627" s="57"/>
      <c r="Y2627" s="57"/>
      <c r="Z2627" s="57"/>
      <c r="AA2627" s="57"/>
      <c r="AB2627" s="57"/>
      <c r="AC2627" s="57"/>
      <c r="AD2627" s="57"/>
      <c r="AE2627" s="57"/>
      <c r="AF2627" s="57"/>
    </row>
    <row r="2628" spans="1:32" x14ac:dyDescent="0.2">
      <c r="A2628" s="57"/>
      <c r="B2628" s="57"/>
      <c r="C2628" s="57"/>
      <c r="D2628" s="57"/>
      <c r="E2628" s="57"/>
      <c r="F2628" s="985"/>
      <c r="G2628" s="57"/>
      <c r="H2628" s="57"/>
      <c r="I2628" s="990"/>
      <c r="J2628" s="57"/>
      <c r="K2628" s="57"/>
      <c r="L2628" s="57"/>
      <c r="M2628" s="57"/>
      <c r="N2628" s="57"/>
      <c r="O2628" s="57"/>
      <c r="P2628" s="57"/>
      <c r="Q2628" s="57"/>
      <c r="R2628" s="57"/>
      <c r="S2628" s="57"/>
      <c r="T2628" s="57"/>
      <c r="U2628" s="57"/>
      <c r="V2628" s="57"/>
      <c r="W2628" s="57"/>
      <c r="X2628" s="57"/>
      <c r="Y2628" s="57"/>
      <c r="Z2628" s="57"/>
      <c r="AA2628" s="57"/>
      <c r="AB2628" s="57"/>
      <c r="AC2628" s="57"/>
      <c r="AD2628" s="57"/>
      <c r="AE2628" s="57"/>
      <c r="AF2628" s="57"/>
    </row>
    <row r="2629" spans="1:32" x14ac:dyDescent="0.2">
      <c r="A2629" s="57"/>
      <c r="B2629" s="57"/>
      <c r="C2629" s="57"/>
      <c r="D2629" s="57"/>
      <c r="E2629" s="57"/>
      <c r="F2629" s="985"/>
      <c r="G2629" s="57"/>
      <c r="H2629" s="57"/>
      <c r="I2629" s="990"/>
      <c r="J2629" s="57"/>
      <c r="K2629" s="57"/>
      <c r="L2629" s="57"/>
      <c r="M2629" s="57"/>
      <c r="N2629" s="57"/>
      <c r="O2629" s="57"/>
      <c r="P2629" s="57"/>
      <c r="Q2629" s="57"/>
      <c r="R2629" s="57"/>
      <c r="S2629" s="57"/>
      <c r="T2629" s="57"/>
      <c r="U2629" s="57"/>
      <c r="V2629" s="57"/>
      <c r="W2629" s="57"/>
      <c r="X2629" s="57"/>
      <c r="Y2629" s="57"/>
      <c r="Z2629" s="57"/>
      <c r="AA2629" s="57"/>
      <c r="AB2629" s="57"/>
      <c r="AC2629" s="57"/>
      <c r="AD2629" s="57"/>
      <c r="AE2629" s="57"/>
      <c r="AF2629" s="57"/>
    </row>
    <row r="2630" spans="1:32" x14ac:dyDescent="0.2">
      <c r="A2630" s="57"/>
      <c r="B2630" s="57"/>
      <c r="C2630" s="57"/>
      <c r="D2630" s="57"/>
      <c r="E2630" s="57"/>
      <c r="F2630" s="985"/>
      <c r="G2630" s="57"/>
      <c r="H2630" s="57"/>
      <c r="I2630" s="990"/>
      <c r="J2630" s="57"/>
      <c r="K2630" s="57"/>
      <c r="L2630" s="57"/>
      <c r="M2630" s="57"/>
      <c r="N2630" s="57"/>
      <c r="O2630" s="57"/>
      <c r="P2630" s="57"/>
      <c r="Q2630" s="57"/>
      <c r="R2630" s="57"/>
      <c r="S2630" s="57"/>
      <c r="T2630" s="57"/>
      <c r="U2630" s="57"/>
      <c r="V2630" s="57"/>
      <c r="W2630" s="57"/>
      <c r="X2630" s="57"/>
      <c r="Y2630" s="57"/>
      <c r="Z2630" s="57"/>
      <c r="AA2630" s="57"/>
      <c r="AB2630" s="57"/>
      <c r="AC2630" s="57"/>
      <c r="AD2630" s="57"/>
      <c r="AE2630" s="57"/>
      <c r="AF2630" s="57"/>
    </row>
    <row r="2631" spans="1:32" x14ac:dyDescent="0.2">
      <c r="A2631" s="57"/>
      <c r="B2631" s="57"/>
      <c r="C2631" s="57"/>
      <c r="D2631" s="57"/>
      <c r="E2631" s="57"/>
      <c r="F2631" s="985"/>
      <c r="G2631" s="57"/>
      <c r="H2631" s="57"/>
      <c r="I2631" s="990"/>
      <c r="J2631" s="57"/>
      <c r="K2631" s="57"/>
      <c r="L2631" s="57"/>
      <c r="M2631" s="57"/>
      <c r="N2631" s="57"/>
      <c r="O2631" s="57"/>
      <c r="P2631" s="57"/>
      <c r="Q2631" s="57"/>
      <c r="R2631" s="57"/>
      <c r="S2631" s="57"/>
      <c r="T2631" s="57"/>
      <c r="U2631" s="57"/>
      <c r="V2631" s="57"/>
      <c r="W2631" s="57"/>
      <c r="X2631" s="57"/>
      <c r="Y2631" s="57"/>
      <c r="Z2631" s="57"/>
      <c r="AA2631" s="57"/>
      <c r="AB2631" s="57"/>
      <c r="AC2631" s="57"/>
      <c r="AD2631" s="57"/>
      <c r="AE2631" s="57"/>
      <c r="AF2631" s="57"/>
    </row>
    <row r="2632" spans="1:32" x14ac:dyDescent="0.2">
      <c r="A2632" s="57"/>
      <c r="B2632" s="57"/>
      <c r="C2632" s="57"/>
      <c r="D2632" s="57"/>
      <c r="E2632" s="57"/>
      <c r="F2632" s="985"/>
      <c r="G2632" s="57"/>
      <c r="H2632" s="57"/>
      <c r="I2632" s="990"/>
      <c r="J2632" s="57"/>
      <c r="K2632" s="57"/>
      <c r="L2632" s="57"/>
      <c r="M2632" s="57"/>
      <c r="N2632" s="57"/>
      <c r="O2632" s="57"/>
      <c r="P2632" s="57"/>
      <c r="Q2632" s="57"/>
      <c r="R2632" s="57"/>
      <c r="S2632" s="57"/>
      <c r="T2632" s="57"/>
      <c r="U2632" s="57"/>
      <c r="V2632" s="57"/>
      <c r="W2632" s="57"/>
      <c r="X2632" s="57"/>
      <c r="Y2632" s="57"/>
      <c r="Z2632" s="57"/>
      <c r="AA2632" s="57"/>
      <c r="AB2632" s="57"/>
      <c r="AC2632" s="57"/>
      <c r="AD2632" s="57"/>
      <c r="AE2632" s="57"/>
      <c r="AF2632" s="57"/>
    </row>
    <row r="2633" spans="1:32" x14ac:dyDescent="0.2">
      <c r="A2633" s="57"/>
      <c r="B2633" s="57"/>
      <c r="C2633" s="57"/>
      <c r="D2633" s="57"/>
      <c r="E2633" s="57"/>
      <c r="F2633" s="985"/>
      <c r="G2633" s="57"/>
      <c r="H2633" s="57"/>
      <c r="I2633" s="990"/>
      <c r="J2633" s="57"/>
      <c r="K2633" s="57"/>
      <c r="L2633" s="57"/>
      <c r="M2633" s="57"/>
      <c r="N2633" s="57"/>
      <c r="O2633" s="57"/>
      <c r="P2633" s="57"/>
      <c r="Q2633" s="57"/>
      <c r="R2633" s="57"/>
      <c r="S2633" s="57"/>
      <c r="T2633" s="57"/>
      <c r="U2633" s="57"/>
      <c r="V2633" s="57"/>
      <c r="W2633" s="57"/>
      <c r="X2633" s="57"/>
      <c r="Y2633" s="57"/>
      <c r="Z2633" s="57"/>
      <c r="AA2633" s="57"/>
      <c r="AB2633" s="57"/>
      <c r="AC2633" s="57"/>
      <c r="AD2633" s="57"/>
      <c r="AE2633" s="57"/>
      <c r="AF2633" s="57"/>
    </row>
    <row r="2634" spans="1:32" x14ac:dyDescent="0.2">
      <c r="A2634" s="57"/>
      <c r="B2634" s="57"/>
      <c r="C2634" s="57"/>
      <c r="D2634" s="57"/>
      <c r="E2634" s="57"/>
      <c r="F2634" s="985"/>
      <c r="G2634" s="57"/>
      <c r="H2634" s="57"/>
      <c r="I2634" s="990"/>
      <c r="J2634" s="57"/>
      <c r="K2634" s="57"/>
      <c r="L2634" s="57"/>
      <c r="M2634" s="57"/>
      <c r="N2634" s="57"/>
      <c r="O2634" s="57"/>
      <c r="P2634" s="57"/>
      <c r="Q2634" s="57"/>
      <c r="R2634" s="57"/>
      <c r="S2634" s="57"/>
      <c r="T2634" s="57"/>
      <c r="U2634" s="57"/>
      <c r="V2634" s="57"/>
      <c r="W2634" s="57"/>
      <c r="X2634" s="57"/>
      <c r="Y2634" s="57"/>
      <c r="Z2634" s="57"/>
      <c r="AA2634" s="57"/>
      <c r="AB2634" s="57"/>
      <c r="AC2634" s="57"/>
      <c r="AD2634" s="57"/>
      <c r="AE2634" s="57"/>
      <c r="AF2634" s="57"/>
    </row>
    <row r="2635" spans="1:32" x14ac:dyDescent="0.2">
      <c r="A2635" s="57"/>
      <c r="B2635" s="57"/>
      <c r="C2635" s="57"/>
      <c r="D2635" s="57"/>
      <c r="E2635" s="57"/>
      <c r="F2635" s="985"/>
      <c r="G2635" s="57"/>
      <c r="H2635" s="57"/>
      <c r="I2635" s="990"/>
      <c r="J2635" s="57"/>
      <c r="K2635" s="57"/>
      <c r="L2635" s="57"/>
      <c r="M2635" s="57"/>
      <c r="N2635" s="57"/>
      <c r="O2635" s="57"/>
      <c r="P2635" s="57"/>
      <c r="Q2635" s="57"/>
      <c r="R2635" s="57"/>
      <c r="S2635" s="57"/>
      <c r="T2635" s="57"/>
      <c r="U2635" s="57"/>
      <c r="V2635" s="57"/>
      <c r="W2635" s="57"/>
      <c r="X2635" s="57"/>
      <c r="Y2635" s="57"/>
      <c r="Z2635" s="57"/>
      <c r="AA2635" s="57"/>
      <c r="AB2635" s="57"/>
      <c r="AC2635" s="57"/>
      <c r="AD2635" s="57"/>
      <c r="AE2635" s="57"/>
      <c r="AF2635" s="57"/>
    </row>
    <row r="2636" spans="1:32" x14ac:dyDescent="0.2">
      <c r="A2636" s="57"/>
      <c r="B2636" s="57"/>
      <c r="C2636" s="57"/>
      <c r="D2636" s="57"/>
      <c r="E2636" s="57"/>
      <c r="F2636" s="985"/>
      <c r="G2636" s="57"/>
      <c r="H2636" s="57"/>
      <c r="I2636" s="990"/>
      <c r="J2636" s="57"/>
      <c r="K2636" s="57"/>
      <c r="L2636" s="57"/>
      <c r="M2636" s="57"/>
      <c r="N2636" s="57"/>
      <c r="O2636" s="57"/>
      <c r="P2636" s="57"/>
      <c r="Q2636" s="57"/>
      <c r="R2636" s="57"/>
      <c r="S2636" s="57"/>
      <c r="T2636" s="57"/>
      <c r="U2636" s="57"/>
      <c r="V2636" s="57"/>
      <c r="W2636" s="57"/>
      <c r="X2636" s="57"/>
      <c r="Y2636" s="57"/>
      <c r="Z2636" s="57"/>
      <c r="AA2636" s="57"/>
      <c r="AB2636" s="57"/>
      <c r="AC2636" s="57"/>
      <c r="AD2636" s="57"/>
      <c r="AE2636" s="57"/>
      <c r="AF2636" s="57"/>
    </row>
    <row r="2637" spans="1:32" x14ac:dyDescent="0.2">
      <c r="A2637" s="57"/>
      <c r="B2637" s="57"/>
      <c r="C2637" s="57"/>
      <c r="D2637" s="57"/>
      <c r="E2637" s="57"/>
      <c r="F2637" s="985"/>
      <c r="G2637" s="57"/>
      <c r="H2637" s="57"/>
      <c r="I2637" s="990"/>
      <c r="J2637" s="57"/>
      <c r="K2637" s="57"/>
      <c r="L2637" s="57"/>
      <c r="M2637" s="57"/>
      <c r="N2637" s="57"/>
      <c r="O2637" s="57"/>
      <c r="P2637" s="57"/>
      <c r="Q2637" s="57"/>
      <c r="R2637" s="57"/>
      <c r="S2637" s="57"/>
      <c r="T2637" s="57"/>
      <c r="U2637" s="57"/>
      <c r="V2637" s="57"/>
      <c r="W2637" s="57"/>
      <c r="X2637" s="57"/>
      <c r="Y2637" s="57"/>
      <c r="Z2637" s="57"/>
      <c r="AA2637" s="57"/>
      <c r="AB2637" s="57"/>
      <c r="AC2637" s="57"/>
      <c r="AD2637" s="57"/>
      <c r="AE2637" s="57"/>
      <c r="AF2637" s="57"/>
    </row>
    <row r="2638" spans="1:32" x14ac:dyDescent="0.2">
      <c r="A2638" s="57"/>
      <c r="B2638" s="57"/>
      <c r="C2638" s="57"/>
      <c r="D2638" s="57"/>
      <c r="E2638" s="57"/>
      <c r="F2638" s="985"/>
      <c r="G2638" s="57"/>
      <c r="H2638" s="57"/>
      <c r="I2638" s="990"/>
      <c r="J2638" s="57"/>
      <c r="K2638" s="57"/>
      <c r="L2638" s="57"/>
      <c r="M2638" s="57"/>
      <c r="N2638" s="57"/>
      <c r="O2638" s="57"/>
      <c r="P2638" s="57"/>
      <c r="Q2638" s="57"/>
      <c r="R2638" s="57"/>
      <c r="S2638" s="57"/>
      <c r="T2638" s="57"/>
      <c r="U2638" s="57"/>
      <c r="V2638" s="57"/>
      <c r="W2638" s="57"/>
      <c r="X2638" s="57"/>
      <c r="Y2638" s="57"/>
      <c r="Z2638" s="57"/>
      <c r="AA2638" s="57"/>
      <c r="AB2638" s="57"/>
      <c r="AC2638" s="57"/>
      <c r="AD2638" s="57"/>
      <c r="AE2638" s="57"/>
      <c r="AF2638" s="57"/>
    </row>
    <row r="2639" spans="1:32" x14ac:dyDescent="0.2">
      <c r="A2639" s="57"/>
      <c r="B2639" s="57"/>
      <c r="C2639" s="57"/>
      <c r="D2639" s="57"/>
      <c r="E2639" s="57"/>
      <c r="F2639" s="985"/>
      <c r="G2639" s="57"/>
      <c r="H2639" s="57"/>
      <c r="I2639" s="990"/>
      <c r="J2639" s="57"/>
      <c r="K2639" s="57"/>
      <c r="L2639" s="57"/>
      <c r="M2639" s="57"/>
      <c r="N2639" s="57"/>
      <c r="O2639" s="57"/>
      <c r="P2639" s="57"/>
      <c r="Q2639" s="57"/>
      <c r="R2639" s="57"/>
      <c r="S2639" s="57"/>
      <c r="T2639" s="57"/>
      <c r="U2639" s="57"/>
      <c r="V2639" s="57"/>
      <c r="W2639" s="57"/>
      <c r="X2639" s="57"/>
      <c r="Y2639" s="57"/>
      <c r="Z2639" s="57"/>
      <c r="AA2639" s="57"/>
      <c r="AB2639" s="57"/>
      <c r="AC2639" s="57"/>
      <c r="AD2639" s="57"/>
      <c r="AE2639" s="57"/>
      <c r="AF2639" s="57"/>
    </row>
    <row r="2640" spans="1:32" x14ac:dyDescent="0.2">
      <c r="A2640" s="57"/>
      <c r="B2640" s="57"/>
      <c r="C2640" s="57"/>
      <c r="D2640" s="57"/>
      <c r="E2640" s="57"/>
      <c r="F2640" s="985"/>
      <c r="G2640" s="57"/>
      <c r="H2640" s="57"/>
      <c r="I2640" s="990"/>
      <c r="J2640" s="57"/>
      <c r="K2640" s="57"/>
      <c r="L2640" s="57"/>
      <c r="M2640" s="57"/>
      <c r="N2640" s="57"/>
      <c r="O2640" s="57"/>
      <c r="P2640" s="57"/>
      <c r="Q2640" s="57"/>
      <c r="R2640" s="57"/>
      <c r="S2640" s="57"/>
      <c r="T2640" s="57"/>
      <c r="U2640" s="57"/>
      <c r="V2640" s="57"/>
      <c r="W2640" s="57"/>
      <c r="X2640" s="57"/>
      <c r="Y2640" s="57"/>
      <c r="Z2640" s="57"/>
      <c r="AA2640" s="57"/>
      <c r="AB2640" s="57"/>
      <c r="AC2640" s="57"/>
      <c r="AD2640" s="57"/>
      <c r="AE2640" s="57"/>
      <c r="AF2640" s="57"/>
    </row>
    <row r="2641" spans="1:32" x14ac:dyDescent="0.2">
      <c r="A2641" s="57"/>
      <c r="B2641" s="57"/>
      <c r="C2641" s="57"/>
      <c r="D2641" s="57"/>
      <c r="E2641" s="57"/>
      <c r="F2641" s="985"/>
      <c r="G2641" s="57"/>
      <c r="H2641" s="57"/>
      <c r="I2641" s="990"/>
      <c r="J2641" s="57"/>
      <c r="K2641" s="57"/>
      <c r="L2641" s="57"/>
      <c r="M2641" s="57"/>
      <c r="N2641" s="57"/>
      <c r="O2641" s="57"/>
      <c r="P2641" s="57"/>
      <c r="Q2641" s="57"/>
      <c r="R2641" s="57"/>
      <c r="S2641" s="57"/>
      <c r="T2641" s="57"/>
      <c r="U2641" s="57"/>
      <c r="V2641" s="57"/>
      <c r="W2641" s="57"/>
      <c r="X2641" s="57"/>
      <c r="Y2641" s="57"/>
      <c r="Z2641" s="57"/>
      <c r="AA2641" s="57"/>
      <c r="AB2641" s="57"/>
      <c r="AC2641" s="57"/>
      <c r="AD2641" s="57"/>
      <c r="AE2641" s="57"/>
      <c r="AF2641" s="57"/>
    </row>
    <row r="2642" spans="1:32" x14ac:dyDescent="0.2">
      <c r="A2642" s="57"/>
      <c r="B2642" s="57"/>
      <c r="C2642" s="57"/>
      <c r="D2642" s="57"/>
      <c r="E2642" s="57"/>
      <c r="F2642" s="985"/>
      <c r="G2642" s="57"/>
      <c r="H2642" s="57"/>
      <c r="I2642" s="990"/>
      <c r="J2642" s="57"/>
      <c r="K2642" s="57"/>
      <c r="L2642" s="57"/>
      <c r="M2642" s="57"/>
      <c r="N2642" s="57"/>
      <c r="O2642" s="57"/>
      <c r="P2642" s="57"/>
      <c r="Q2642" s="57"/>
      <c r="R2642" s="57"/>
      <c r="S2642" s="57"/>
      <c r="T2642" s="57"/>
      <c r="U2642" s="57"/>
      <c r="V2642" s="57"/>
      <c r="W2642" s="57"/>
      <c r="X2642" s="57"/>
      <c r="Y2642" s="57"/>
      <c r="Z2642" s="57"/>
      <c r="AA2642" s="57"/>
      <c r="AB2642" s="57"/>
      <c r="AC2642" s="57"/>
      <c r="AD2642" s="57"/>
      <c r="AE2642" s="57"/>
      <c r="AF2642" s="57"/>
    </row>
    <row r="2643" spans="1:32" x14ac:dyDescent="0.2">
      <c r="A2643" s="57"/>
      <c r="B2643" s="57"/>
      <c r="C2643" s="57"/>
      <c r="D2643" s="57"/>
      <c r="E2643" s="57"/>
      <c r="F2643" s="985"/>
      <c r="G2643" s="57"/>
      <c r="H2643" s="57"/>
      <c r="I2643" s="990"/>
      <c r="J2643" s="57"/>
      <c r="K2643" s="57"/>
      <c r="L2643" s="57"/>
      <c r="M2643" s="57"/>
      <c r="N2643" s="57"/>
      <c r="O2643" s="57"/>
      <c r="P2643" s="57"/>
      <c r="Q2643" s="57"/>
      <c r="R2643" s="57"/>
      <c r="S2643" s="57"/>
      <c r="T2643" s="57"/>
      <c r="U2643" s="57"/>
      <c r="V2643" s="57"/>
      <c r="W2643" s="57"/>
      <c r="X2643" s="57"/>
      <c r="Y2643" s="57"/>
      <c r="Z2643" s="57"/>
      <c r="AA2643" s="57"/>
      <c r="AB2643" s="57"/>
      <c r="AC2643" s="57"/>
      <c r="AD2643" s="57"/>
      <c r="AE2643" s="57"/>
      <c r="AF2643" s="57"/>
    </row>
    <row r="2644" spans="1:32" x14ac:dyDescent="0.2">
      <c r="A2644" s="57"/>
      <c r="B2644" s="57"/>
      <c r="C2644" s="57"/>
      <c r="D2644" s="57"/>
      <c r="E2644" s="57"/>
      <c r="F2644" s="985"/>
      <c r="G2644" s="57"/>
      <c r="H2644" s="57"/>
      <c r="I2644" s="990"/>
      <c r="J2644" s="57"/>
      <c r="K2644" s="57"/>
      <c r="L2644" s="57"/>
      <c r="M2644" s="57"/>
      <c r="N2644" s="57"/>
      <c r="O2644" s="57"/>
      <c r="P2644" s="57"/>
      <c r="Q2644" s="57"/>
      <c r="R2644" s="57"/>
      <c r="S2644" s="57"/>
      <c r="T2644" s="57"/>
      <c r="U2644" s="57"/>
      <c r="V2644" s="57"/>
      <c r="W2644" s="57"/>
      <c r="X2644" s="57"/>
      <c r="Y2644" s="57"/>
      <c r="Z2644" s="57"/>
      <c r="AA2644" s="57"/>
      <c r="AB2644" s="57"/>
      <c r="AC2644" s="57"/>
      <c r="AD2644" s="57"/>
      <c r="AE2644" s="57"/>
      <c r="AF2644" s="57"/>
    </row>
    <row r="2645" spans="1:32" x14ac:dyDescent="0.2">
      <c r="A2645" s="57"/>
      <c r="B2645" s="57"/>
      <c r="C2645" s="57"/>
      <c r="D2645" s="57"/>
      <c r="E2645" s="57"/>
      <c r="F2645" s="985"/>
      <c r="G2645" s="57"/>
      <c r="H2645" s="57"/>
      <c r="I2645" s="990"/>
      <c r="J2645" s="57"/>
      <c r="K2645" s="57"/>
      <c r="L2645" s="57"/>
      <c r="M2645" s="57"/>
      <c r="N2645" s="57"/>
      <c r="O2645" s="57"/>
      <c r="P2645" s="57"/>
      <c r="Q2645" s="57"/>
      <c r="R2645" s="57"/>
      <c r="S2645" s="57"/>
      <c r="T2645" s="57"/>
      <c r="U2645" s="57"/>
      <c r="V2645" s="57"/>
      <c r="W2645" s="57"/>
      <c r="X2645" s="57"/>
      <c r="Y2645" s="57"/>
      <c r="Z2645" s="57"/>
      <c r="AA2645" s="57"/>
      <c r="AB2645" s="57"/>
      <c r="AC2645" s="57"/>
      <c r="AD2645" s="57"/>
      <c r="AE2645" s="57"/>
      <c r="AF2645" s="57"/>
    </row>
    <row r="2646" spans="1:32" x14ac:dyDescent="0.2">
      <c r="A2646" s="57"/>
      <c r="B2646" s="57"/>
      <c r="C2646" s="57"/>
      <c r="D2646" s="57"/>
      <c r="E2646" s="57"/>
      <c r="F2646" s="985"/>
      <c r="G2646" s="57"/>
      <c r="H2646" s="57"/>
      <c r="I2646" s="990"/>
      <c r="J2646" s="57"/>
      <c r="K2646" s="57"/>
      <c r="L2646" s="57"/>
      <c r="M2646" s="57"/>
      <c r="N2646" s="57"/>
      <c r="O2646" s="57"/>
      <c r="P2646" s="57"/>
      <c r="Q2646" s="57"/>
      <c r="R2646" s="57"/>
      <c r="S2646" s="57"/>
      <c r="T2646" s="57"/>
      <c r="U2646" s="57"/>
      <c r="V2646" s="57"/>
      <c r="W2646" s="57"/>
      <c r="X2646" s="57"/>
      <c r="Y2646" s="57"/>
      <c r="Z2646" s="57"/>
      <c r="AA2646" s="57"/>
      <c r="AB2646" s="57"/>
      <c r="AC2646" s="57"/>
      <c r="AD2646" s="57"/>
      <c r="AE2646" s="57"/>
      <c r="AF2646" s="57"/>
    </row>
    <row r="2647" spans="1:32" x14ac:dyDescent="0.2">
      <c r="A2647" s="57"/>
      <c r="B2647" s="57"/>
      <c r="C2647" s="57"/>
      <c r="D2647" s="57"/>
      <c r="E2647" s="57"/>
      <c r="F2647" s="985"/>
      <c r="G2647" s="57"/>
      <c r="H2647" s="57"/>
      <c r="I2647" s="990"/>
      <c r="J2647" s="57"/>
      <c r="K2647" s="57"/>
      <c r="L2647" s="57"/>
      <c r="M2647" s="57"/>
      <c r="N2647" s="57"/>
      <c r="O2647" s="57"/>
      <c r="P2647" s="57"/>
      <c r="Q2647" s="57"/>
      <c r="R2647" s="57"/>
      <c r="S2647" s="57"/>
      <c r="T2647" s="57"/>
      <c r="U2647" s="57"/>
      <c r="V2647" s="57"/>
      <c r="W2647" s="57"/>
      <c r="X2647" s="57"/>
      <c r="Y2647" s="57"/>
      <c r="Z2647" s="57"/>
      <c r="AA2647" s="57"/>
      <c r="AB2647" s="57"/>
      <c r="AC2647" s="57"/>
      <c r="AD2647" s="57"/>
      <c r="AE2647" s="57"/>
      <c r="AF2647" s="57"/>
    </row>
    <row r="2648" spans="1:32" x14ac:dyDescent="0.2">
      <c r="A2648" s="57"/>
      <c r="B2648" s="57"/>
      <c r="C2648" s="57"/>
      <c r="D2648" s="57"/>
      <c r="E2648" s="57"/>
      <c r="F2648" s="985"/>
      <c r="G2648" s="57"/>
      <c r="H2648" s="57"/>
      <c r="I2648" s="990"/>
      <c r="J2648" s="57"/>
      <c r="K2648" s="57"/>
      <c r="L2648" s="57"/>
      <c r="M2648" s="57"/>
      <c r="N2648" s="57"/>
      <c r="O2648" s="57"/>
      <c r="P2648" s="57"/>
      <c r="Q2648" s="57"/>
      <c r="R2648" s="57"/>
      <c r="S2648" s="57"/>
      <c r="T2648" s="57"/>
      <c r="U2648" s="57"/>
      <c r="V2648" s="57"/>
      <c r="W2648" s="57"/>
      <c r="X2648" s="57"/>
      <c r="Y2648" s="57"/>
      <c r="Z2648" s="57"/>
      <c r="AA2648" s="57"/>
      <c r="AB2648" s="57"/>
      <c r="AC2648" s="57"/>
      <c r="AD2648" s="57"/>
      <c r="AE2648" s="57"/>
      <c r="AF2648" s="57"/>
    </row>
    <row r="2649" spans="1:32" x14ac:dyDescent="0.2">
      <c r="A2649" s="57"/>
      <c r="B2649" s="57"/>
      <c r="C2649" s="57"/>
      <c r="D2649" s="57"/>
      <c r="E2649" s="57"/>
      <c r="F2649" s="985"/>
      <c r="G2649" s="57"/>
      <c r="H2649" s="57"/>
      <c r="I2649" s="990"/>
      <c r="J2649" s="57"/>
      <c r="K2649" s="57"/>
      <c r="L2649" s="57"/>
      <c r="M2649" s="57"/>
      <c r="N2649" s="57"/>
      <c r="O2649" s="57"/>
      <c r="P2649" s="57"/>
      <c r="Q2649" s="57"/>
      <c r="R2649" s="57"/>
      <c r="S2649" s="57"/>
      <c r="T2649" s="57"/>
      <c r="U2649" s="57"/>
      <c r="V2649" s="57"/>
      <c r="W2649" s="57"/>
      <c r="X2649" s="57"/>
      <c r="Y2649" s="57"/>
      <c r="Z2649" s="57"/>
      <c r="AA2649" s="57"/>
      <c r="AB2649" s="57"/>
      <c r="AC2649" s="57"/>
      <c r="AD2649" s="57"/>
      <c r="AE2649" s="57"/>
      <c r="AF2649" s="57"/>
    </row>
    <row r="2650" spans="1:32" x14ac:dyDescent="0.2">
      <c r="A2650" s="57"/>
      <c r="B2650" s="57"/>
      <c r="C2650" s="57"/>
      <c r="D2650" s="57"/>
      <c r="E2650" s="57"/>
      <c r="F2650" s="985"/>
      <c r="G2650" s="57"/>
      <c r="H2650" s="57"/>
      <c r="I2650" s="990"/>
      <c r="J2650" s="57"/>
      <c r="K2650" s="57"/>
      <c r="L2650" s="57"/>
      <c r="M2650" s="57"/>
      <c r="N2650" s="57"/>
      <c r="O2650" s="57"/>
      <c r="P2650" s="57"/>
      <c r="Q2650" s="57"/>
      <c r="R2650" s="57"/>
      <c r="S2650" s="57"/>
      <c r="T2650" s="57"/>
      <c r="U2650" s="57"/>
      <c r="V2650" s="57"/>
      <c r="W2650" s="57"/>
      <c r="X2650" s="57"/>
      <c r="Y2650" s="57"/>
      <c r="Z2650" s="57"/>
      <c r="AA2650" s="57"/>
      <c r="AB2650" s="57"/>
      <c r="AC2650" s="57"/>
      <c r="AD2650" s="57"/>
      <c r="AE2650" s="57"/>
      <c r="AF2650" s="57"/>
    </row>
    <row r="2651" spans="1:32" x14ac:dyDescent="0.2">
      <c r="A2651" s="57"/>
      <c r="B2651" s="57"/>
      <c r="C2651" s="57"/>
      <c r="D2651" s="57"/>
      <c r="E2651" s="57"/>
      <c r="F2651" s="985"/>
      <c r="G2651" s="57"/>
      <c r="H2651" s="57"/>
      <c r="I2651" s="990"/>
      <c r="J2651" s="57"/>
      <c r="K2651" s="57"/>
      <c r="L2651" s="57"/>
      <c r="M2651" s="57"/>
      <c r="N2651" s="57"/>
      <c r="O2651" s="57"/>
      <c r="P2651" s="57"/>
      <c r="Q2651" s="57"/>
      <c r="R2651" s="57"/>
      <c r="S2651" s="57"/>
      <c r="T2651" s="57"/>
      <c r="U2651" s="57"/>
      <c r="V2651" s="57"/>
      <c r="W2651" s="57"/>
      <c r="X2651" s="57"/>
      <c r="Y2651" s="57"/>
      <c r="Z2651" s="57"/>
      <c r="AA2651" s="57"/>
      <c r="AB2651" s="57"/>
      <c r="AC2651" s="57"/>
      <c r="AD2651" s="57"/>
      <c r="AE2651" s="57"/>
      <c r="AF2651" s="57"/>
    </row>
    <row r="2652" spans="1:32" x14ac:dyDescent="0.2">
      <c r="A2652" s="57"/>
      <c r="B2652" s="57"/>
      <c r="C2652" s="57"/>
      <c r="D2652" s="57"/>
      <c r="E2652" s="57"/>
      <c r="F2652" s="985"/>
      <c r="G2652" s="57"/>
      <c r="H2652" s="57"/>
      <c r="I2652" s="990"/>
      <c r="J2652" s="57"/>
      <c r="K2652" s="57"/>
      <c r="L2652" s="57"/>
      <c r="M2652" s="57"/>
      <c r="N2652" s="57"/>
      <c r="O2652" s="57"/>
      <c r="P2652" s="57"/>
      <c r="Q2652" s="57"/>
      <c r="R2652" s="57"/>
      <c r="S2652" s="57"/>
      <c r="T2652" s="57"/>
      <c r="U2652" s="57"/>
      <c r="V2652" s="57"/>
      <c r="W2652" s="57"/>
      <c r="X2652" s="57"/>
      <c r="Y2652" s="57"/>
      <c r="Z2652" s="57"/>
      <c r="AA2652" s="57"/>
      <c r="AB2652" s="57"/>
      <c r="AC2652" s="57"/>
      <c r="AD2652" s="57"/>
      <c r="AE2652" s="57"/>
      <c r="AF2652" s="57"/>
    </row>
    <row r="2653" spans="1:32" x14ac:dyDescent="0.2">
      <c r="A2653" s="57"/>
      <c r="B2653" s="57"/>
      <c r="C2653" s="57"/>
      <c r="D2653" s="57"/>
      <c r="E2653" s="57"/>
      <c r="F2653" s="985"/>
      <c r="G2653" s="57"/>
      <c r="H2653" s="57"/>
      <c r="I2653" s="990"/>
      <c r="J2653" s="57"/>
      <c r="K2653" s="57"/>
      <c r="L2653" s="57"/>
      <c r="M2653" s="57"/>
      <c r="N2653" s="57"/>
      <c r="O2653" s="57"/>
      <c r="P2653" s="57"/>
      <c r="Q2653" s="57"/>
      <c r="R2653" s="57"/>
      <c r="S2653" s="57"/>
      <c r="T2653" s="57"/>
      <c r="U2653" s="57"/>
      <c r="V2653" s="57"/>
      <c r="W2653" s="57"/>
      <c r="X2653" s="57"/>
      <c r="Y2653" s="57"/>
      <c r="Z2653" s="57"/>
      <c r="AA2653" s="57"/>
      <c r="AB2653" s="57"/>
      <c r="AC2653" s="57"/>
      <c r="AD2653" s="57"/>
      <c r="AE2653" s="57"/>
      <c r="AF2653" s="57"/>
    </row>
    <row r="2654" spans="1:32" x14ac:dyDescent="0.2">
      <c r="A2654" s="57"/>
      <c r="B2654" s="57"/>
      <c r="C2654" s="57"/>
      <c r="D2654" s="57"/>
      <c r="E2654" s="57"/>
      <c r="F2654" s="985"/>
      <c r="G2654" s="57"/>
      <c r="H2654" s="57"/>
      <c r="I2654" s="990"/>
      <c r="J2654" s="57"/>
      <c r="K2654" s="57"/>
      <c r="L2654" s="57"/>
      <c r="M2654" s="57"/>
      <c r="N2654" s="57"/>
      <c r="O2654" s="57"/>
      <c r="P2654" s="57"/>
      <c r="Q2654" s="57"/>
      <c r="R2654" s="57"/>
      <c r="S2654" s="57"/>
      <c r="T2654" s="57"/>
      <c r="U2654" s="57"/>
      <c r="V2654" s="57"/>
      <c r="W2654" s="57"/>
      <c r="X2654" s="57"/>
      <c r="Y2654" s="57"/>
      <c r="Z2654" s="57"/>
      <c r="AA2654" s="57"/>
      <c r="AB2654" s="57"/>
      <c r="AC2654" s="57"/>
      <c r="AD2654" s="57"/>
      <c r="AE2654" s="57"/>
      <c r="AF2654" s="57"/>
    </row>
    <row r="2655" spans="1:32" x14ac:dyDescent="0.2">
      <c r="A2655" s="57"/>
      <c r="B2655" s="57"/>
      <c r="C2655" s="57"/>
      <c r="D2655" s="57"/>
      <c r="E2655" s="57"/>
      <c r="F2655" s="985"/>
      <c r="G2655" s="57"/>
      <c r="H2655" s="57"/>
      <c r="I2655" s="990"/>
      <c r="J2655" s="57"/>
      <c r="K2655" s="57"/>
      <c r="L2655" s="57"/>
      <c r="M2655" s="57"/>
      <c r="N2655" s="57"/>
      <c r="O2655" s="57"/>
      <c r="P2655" s="57"/>
      <c r="Q2655" s="57"/>
      <c r="R2655" s="57"/>
      <c r="S2655" s="57"/>
      <c r="T2655" s="57"/>
      <c r="U2655" s="57"/>
      <c r="V2655" s="57"/>
      <c r="W2655" s="57"/>
      <c r="X2655" s="57"/>
      <c r="Y2655" s="57"/>
      <c r="Z2655" s="57"/>
      <c r="AA2655" s="57"/>
      <c r="AB2655" s="57"/>
      <c r="AC2655" s="57"/>
      <c r="AD2655" s="57"/>
      <c r="AE2655" s="57"/>
      <c r="AF2655" s="57"/>
    </row>
    <row r="2656" spans="1:32" x14ac:dyDescent="0.2">
      <c r="A2656" s="57"/>
      <c r="B2656" s="57"/>
      <c r="C2656" s="57"/>
      <c r="D2656" s="57"/>
      <c r="E2656" s="57"/>
      <c r="F2656" s="985"/>
      <c r="G2656" s="57"/>
      <c r="H2656" s="57"/>
      <c r="I2656" s="990"/>
      <c r="J2656" s="57"/>
      <c r="K2656" s="57"/>
      <c r="L2656" s="57"/>
      <c r="M2656" s="57"/>
      <c r="N2656" s="57"/>
      <c r="O2656" s="57"/>
      <c r="P2656" s="57"/>
      <c r="Q2656" s="57"/>
      <c r="R2656" s="57"/>
      <c r="S2656" s="57"/>
      <c r="T2656" s="57"/>
      <c r="U2656" s="57"/>
      <c r="V2656" s="57"/>
      <c r="W2656" s="57"/>
      <c r="X2656" s="57"/>
      <c r="Y2656" s="57"/>
      <c r="Z2656" s="57"/>
      <c r="AA2656" s="57"/>
      <c r="AB2656" s="57"/>
      <c r="AC2656" s="57"/>
      <c r="AD2656" s="57"/>
      <c r="AE2656" s="57"/>
      <c r="AF2656" s="57"/>
    </row>
    <row r="2657" spans="1:32" x14ac:dyDescent="0.2">
      <c r="A2657" s="57"/>
      <c r="B2657" s="57"/>
      <c r="C2657" s="57"/>
      <c r="D2657" s="57"/>
      <c r="E2657" s="57"/>
      <c r="F2657" s="985"/>
      <c r="G2657" s="57"/>
      <c r="H2657" s="57"/>
      <c r="I2657" s="990"/>
      <c r="J2657" s="57"/>
      <c r="K2657" s="57"/>
      <c r="L2657" s="57"/>
      <c r="M2657" s="57"/>
      <c r="N2657" s="57"/>
      <c r="O2657" s="57"/>
      <c r="P2657" s="57"/>
      <c r="Q2657" s="57"/>
      <c r="R2657" s="57"/>
      <c r="S2657" s="57"/>
      <c r="T2657" s="57"/>
      <c r="U2657" s="57"/>
      <c r="V2657" s="57"/>
      <c r="W2657" s="57"/>
      <c r="X2657" s="57"/>
      <c r="Y2657" s="57"/>
      <c r="Z2657" s="57"/>
      <c r="AA2657" s="57"/>
      <c r="AB2657" s="57"/>
      <c r="AC2657" s="57"/>
      <c r="AD2657" s="57"/>
      <c r="AE2657" s="57"/>
      <c r="AF2657" s="57"/>
    </row>
    <row r="2658" spans="1:32" x14ac:dyDescent="0.2">
      <c r="A2658" s="57"/>
      <c r="B2658" s="57"/>
      <c r="C2658" s="57"/>
      <c r="D2658" s="57"/>
      <c r="E2658" s="57"/>
      <c r="F2658" s="985"/>
      <c r="G2658" s="57"/>
      <c r="H2658" s="57"/>
      <c r="I2658" s="990"/>
      <c r="J2658" s="57"/>
      <c r="K2658" s="57"/>
      <c r="L2658" s="57"/>
      <c r="M2658" s="57"/>
      <c r="N2658" s="57"/>
      <c r="O2658" s="57"/>
      <c r="P2658" s="57"/>
      <c r="Q2658" s="57"/>
      <c r="R2658" s="57"/>
      <c r="S2658" s="57"/>
      <c r="T2658" s="57"/>
      <c r="U2658" s="57"/>
      <c r="V2658" s="57"/>
      <c r="W2658" s="57"/>
      <c r="X2658" s="57"/>
      <c r="Y2658" s="57"/>
      <c r="Z2658" s="57"/>
      <c r="AA2658" s="57"/>
      <c r="AB2658" s="57"/>
      <c r="AC2658" s="57"/>
      <c r="AD2658" s="57"/>
      <c r="AE2658" s="57"/>
      <c r="AF2658" s="57"/>
    </row>
    <row r="2659" spans="1:32" x14ac:dyDescent="0.2">
      <c r="A2659" s="57"/>
      <c r="B2659" s="57"/>
      <c r="C2659" s="57"/>
      <c r="D2659" s="57"/>
      <c r="E2659" s="57"/>
      <c r="F2659" s="985"/>
      <c r="G2659" s="57"/>
      <c r="H2659" s="57"/>
      <c r="I2659" s="990"/>
      <c r="J2659" s="57"/>
      <c r="K2659" s="57"/>
      <c r="L2659" s="57"/>
      <c r="M2659" s="57"/>
      <c r="N2659" s="57"/>
      <c r="O2659" s="57"/>
      <c r="P2659" s="57"/>
      <c r="Q2659" s="57"/>
      <c r="R2659" s="57"/>
      <c r="S2659" s="57"/>
      <c r="T2659" s="57"/>
      <c r="U2659" s="57"/>
      <c r="V2659" s="57"/>
      <c r="W2659" s="57"/>
      <c r="X2659" s="57"/>
      <c r="Y2659" s="57"/>
      <c r="Z2659" s="57"/>
      <c r="AA2659" s="57"/>
      <c r="AB2659" s="57"/>
      <c r="AC2659" s="57"/>
      <c r="AD2659" s="57"/>
      <c r="AE2659" s="57"/>
      <c r="AF2659" s="57"/>
    </row>
    <row r="2660" spans="1:32" x14ac:dyDescent="0.2">
      <c r="A2660" s="57"/>
      <c r="B2660" s="57"/>
      <c r="C2660" s="57"/>
      <c r="D2660" s="57"/>
      <c r="E2660" s="57"/>
      <c r="F2660" s="985"/>
      <c r="G2660" s="57"/>
      <c r="H2660" s="57"/>
      <c r="I2660" s="990"/>
      <c r="J2660" s="57"/>
      <c r="K2660" s="57"/>
      <c r="L2660" s="57"/>
      <c r="M2660" s="57"/>
      <c r="N2660" s="57"/>
      <c r="O2660" s="57"/>
      <c r="P2660" s="57"/>
      <c r="Q2660" s="57"/>
      <c r="R2660" s="57"/>
      <c r="S2660" s="57"/>
      <c r="T2660" s="57"/>
      <c r="U2660" s="57"/>
      <c r="V2660" s="57"/>
      <c r="W2660" s="57"/>
      <c r="X2660" s="57"/>
      <c r="Y2660" s="57"/>
      <c r="Z2660" s="57"/>
      <c r="AA2660" s="57"/>
      <c r="AB2660" s="57"/>
      <c r="AC2660" s="57"/>
      <c r="AD2660" s="57"/>
      <c r="AE2660" s="57"/>
      <c r="AF2660" s="57"/>
    </row>
    <row r="2661" spans="1:32" x14ac:dyDescent="0.2">
      <c r="A2661" s="57"/>
      <c r="B2661" s="57"/>
      <c r="C2661" s="57"/>
      <c r="D2661" s="57"/>
      <c r="E2661" s="57"/>
      <c r="F2661" s="985"/>
      <c r="G2661" s="57"/>
      <c r="H2661" s="57"/>
      <c r="I2661" s="990"/>
      <c r="J2661" s="57"/>
      <c r="K2661" s="57"/>
      <c r="L2661" s="57"/>
      <c r="M2661" s="57"/>
      <c r="N2661" s="57"/>
      <c r="O2661" s="57"/>
      <c r="P2661" s="57"/>
      <c r="Q2661" s="57"/>
      <c r="R2661" s="57"/>
      <c r="S2661" s="57"/>
      <c r="T2661" s="57"/>
      <c r="U2661" s="57"/>
      <c r="V2661" s="57"/>
      <c r="W2661" s="57"/>
      <c r="X2661" s="57"/>
      <c r="Y2661" s="57"/>
      <c r="Z2661" s="57"/>
      <c r="AA2661" s="57"/>
      <c r="AB2661" s="57"/>
      <c r="AC2661" s="57"/>
      <c r="AD2661" s="57"/>
      <c r="AE2661" s="57"/>
      <c r="AF2661" s="57"/>
    </row>
    <row r="2662" spans="1:32" x14ac:dyDescent="0.2">
      <c r="A2662" s="57"/>
      <c r="B2662" s="57"/>
      <c r="C2662" s="57"/>
      <c r="D2662" s="57"/>
      <c r="E2662" s="57"/>
      <c r="F2662" s="985"/>
      <c r="G2662" s="57"/>
      <c r="H2662" s="57"/>
      <c r="I2662" s="990"/>
      <c r="J2662" s="57"/>
      <c r="K2662" s="57"/>
      <c r="L2662" s="57"/>
      <c r="M2662" s="57"/>
      <c r="N2662" s="57"/>
      <c r="O2662" s="57"/>
      <c r="P2662" s="57"/>
      <c r="Q2662" s="57"/>
      <c r="R2662" s="57"/>
      <c r="S2662" s="57"/>
      <c r="T2662" s="57"/>
      <c r="U2662" s="57"/>
      <c r="V2662" s="57"/>
      <c r="W2662" s="57"/>
      <c r="X2662" s="57"/>
      <c r="Y2662" s="57"/>
      <c r="Z2662" s="57"/>
      <c r="AA2662" s="57"/>
      <c r="AB2662" s="57"/>
      <c r="AC2662" s="57"/>
      <c r="AD2662" s="57"/>
      <c r="AE2662" s="57"/>
      <c r="AF2662" s="57"/>
    </row>
    <row r="2663" spans="1:32" x14ac:dyDescent="0.2">
      <c r="A2663" s="57"/>
      <c r="B2663" s="57"/>
      <c r="C2663" s="57"/>
      <c r="D2663" s="57"/>
      <c r="E2663" s="57"/>
      <c r="F2663" s="985"/>
      <c r="G2663" s="57"/>
      <c r="H2663" s="57"/>
      <c r="I2663" s="990"/>
      <c r="J2663" s="57"/>
      <c r="K2663" s="57"/>
      <c r="L2663" s="57"/>
      <c r="M2663" s="57"/>
      <c r="N2663" s="57"/>
      <c r="O2663" s="57"/>
      <c r="P2663" s="57"/>
      <c r="Q2663" s="57"/>
      <c r="R2663" s="57"/>
      <c r="S2663" s="57"/>
      <c r="T2663" s="57"/>
      <c r="U2663" s="57"/>
      <c r="V2663" s="57"/>
      <c r="W2663" s="57"/>
      <c r="X2663" s="57"/>
      <c r="Y2663" s="57"/>
      <c r="Z2663" s="57"/>
      <c r="AA2663" s="57"/>
      <c r="AB2663" s="57"/>
      <c r="AC2663" s="57"/>
      <c r="AD2663" s="57"/>
      <c r="AE2663" s="57"/>
      <c r="AF2663" s="57"/>
    </row>
    <row r="2664" spans="1:32" x14ac:dyDescent="0.2">
      <c r="A2664" s="57"/>
      <c r="B2664" s="57"/>
      <c r="C2664" s="57"/>
      <c r="D2664" s="57"/>
      <c r="E2664" s="57"/>
      <c r="F2664" s="985"/>
      <c r="G2664" s="57"/>
      <c r="H2664" s="57"/>
      <c r="I2664" s="990"/>
      <c r="J2664" s="57"/>
      <c r="K2664" s="57"/>
      <c r="L2664" s="57"/>
      <c r="M2664" s="57"/>
      <c r="N2664" s="57"/>
      <c r="O2664" s="57"/>
      <c r="P2664" s="57"/>
      <c r="Q2664" s="57"/>
      <c r="R2664" s="57"/>
      <c r="S2664" s="57"/>
      <c r="T2664" s="57"/>
      <c r="U2664" s="57"/>
      <c r="V2664" s="57"/>
      <c r="W2664" s="57"/>
      <c r="X2664" s="57"/>
      <c r="Y2664" s="57"/>
      <c r="Z2664" s="57"/>
      <c r="AA2664" s="57"/>
      <c r="AB2664" s="57"/>
      <c r="AC2664" s="57"/>
      <c r="AD2664" s="57"/>
      <c r="AE2664" s="57"/>
      <c r="AF2664" s="57"/>
    </row>
    <row r="2665" spans="1:32" x14ac:dyDescent="0.2">
      <c r="A2665" s="57"/>
      <c r="B2665" s="57"/>
      <c r="C2665" s="57"/>
      <c r="D2665" s="57"/>
      <c r="E2665" s="57"/>
      <c r="F2665" s="985"/>
      <c r="G2665" s="57"/>
      <c r="H2665" s="57"/>
      <c r="I2665" s="990"/>
      <c r="J2665" s="57"/>
      <c r="K2665" s="57"/>
      <c r="L2665" s="57"/>
      <c r="M2665" s="57"/>
      <c r="N2665" s="57"/>
      <c r="O2665" s="57"/>
      <c r="P2665" s="57"/>
      <c r="Q2665" s="57"/>
      <c r="R2665" s="57"/>
      <c r="S2665" s="57"/>
      <c r="T2665" s="57"/>
      <c r="U2665" s="57"/>
      <c r="V2665" s="57"/>
      <c r="W2665" s="57"/>
      <c r="X2665" s="57"/>
      <c r="Y2665" s="57"/>
      <c r="Z2665" s="57"/>
      <c r="AA2665" s="57"/>
      <c r="AB2665" s="57"/>
      <c r="AC2665" s="57"/>
      <c r="AD2665" s="57"/>
      <c r="AE2665" s="57"/>
      <c r="AF2665" s="57"/>
    </row>
    <row r="2666" spans="1:32" x14ac:dyDescent="0.2">
      <c r="A2666" s="57"/>
      <c r="B2666" s="57"/>
      <c r="C2666" s="57"/>
      <c r="D2666" s="57"/>
      <c r="E2666" s="57"/>
      <c r="F2666" s="985"/>
      <c r="G2666" s="57"/>
      <c r="H2666" s="57"/>
      <c r="I2666" s="990"/>
      <c r="J2666" s="57"/>
      <c r="K2666" s="57"/>
      <c r="L2666" s="57"/>
      <c r="M2666" s="57"/>
      <c r="N2666" s="57"/>
      <c r="O2666" s="57"/>
      <c r="P2666" s="57"/>
      <c r="Q2666" s="57"/>
      <c r="R2666" s="57"/>
      <c r="S2666" s="57"/>
      <c r="T2666" s="57"/>
      <c r="U2666" s="57"/>
      <c r="V2666" s="57"/>
      <c r="W2666" s="57"/>
      <c r="X2666" s="57"/>
      <c r="Y2666" s="57"/>
      <c r="Z2666" s="57"/>
      <c r="AA2666" s="57"/>
      <c r="AB2666" s="57"/>
      <c r="AC2666" s="57"/>
      <c r="AD2666" s="57"/>
      <c r="AE2666" s="57"/>
      <c r="AF2666" s="57"/>
    </row>
    <row r="2667" spans="1:32" x14ac:dyDescent="0.2">
      <c r="A2667" s="57"/>
      <c r="B2667" s="57"/>
      <c r="C2667" s="57"/>
      <c r="D2667" s="57"/>
      <c r="E2667" s="57"/>
      <c r="F2667" s="985"/>
      <c r="G2667" s="57"/>
      <c r="H2667" s="57"/>
      <c r="I2667" s="990"/>
      <c r="J2667" s="57"/>
      <c r="K2667" s="57"/>
      <c r="L2667" s="57"/>
      <c r="M2667" s="57"/>
      <c r="N2667" s="57"/>
      <c r="O2667" s="57"/>
      <c r="P2667" s="57"/>
      <c r="Q2667" s="57"/>
      <c r="R2667" s="57"/>
      <c r="S2667" s="57"/>
      <c r="T2667" s="57"/>
      <c r="U2667" s="57"/>
      <c r="V2667" s="57"/>
      <c r="W2667" s="57"/>
      <c r="X2667" s="57"/>
      <c r="Y2667" s="57"/>
      <c r="Z2667" s="57"/>
      <c r="AA2667" s="57"/>
      <c r="AB2667" s="57"/>
      <c r="AC2667" s="57"/>
      <c r="AD2667" s="57"/>
      <c r="AE2667" s="57"/>
      <c r="AF2667" s="57"/>
    </row>
    <row r="2668" spans="1:32" x14ac:dyDescent="0.2">
      <c r="A2668" s="57"/>
      <c r="B2668" s="57"/>
      <c r="C2668" s="57"/>
      <c r="D2668" s="57"/>
      <c r="E2668" s="57"/>
      <c r="F2668" s="985"/>
      <c r="G2668" s="57"/>
      <c r="H2668" s="57"/>
      <c r="I2668" s="990"/>
      <c r="J2668" s="57"/>
      <c r="K2668" s="57"/>
      <c r="L2668" s="57"/>
      <c r="M2668" s="57"/>
      <c r="N2668" s="57"/>
      <c r="O2668" s="57"/>
      <c r="P2668" s="57"/>
      <c r="Q2668" s="57"/>
      <c r="R2668" s="57"/>
      <c r="S2668" s="57"/>
      <c r="T2668" s="57"/>
      <c r="U2668" s="57"/>
      <c r="V2668" s="57"/>
      <c r="W2668" s="57"/>
      <c r="X2668" s="57"/>
      <c r="Y2668" s="57"/>
      <c r="Z2668" s="57"/>
      <c r="AA2668" s="57"/>
      <c r="AB2668" s="57"/>
      <c r="AC2668" s="57"/>
      <c r="AD2668" s="57"/>
      <c r="AE2668" s="57"/>
      <c r="AF2668" s="57"/>
    </row>
    <row r="2669" spans="1:32" x14ac:dyDescent="0.2">
      <c r="A2669" s="57"/>
      <c r="B2669" s="57"/>
      <c r="C2669" s="57"/>
      <c r="D2669" s="57"/>
      <c r="E2669" s="57"/>
      <c r="F2669" s="985"/>
      <c r="G2669" s="57"/>
      <c r="H2669" s="57"/>
      <c r="I2669" s="990"/>
      <c r="J2669" s="57"/>
      <c r="K2669" s="57"/>
      <c r="L2669" s="57"/>
      <c r="M2669" s="57"/>
      <c r="N2669" s="57"/>
      <c r="O2669" s="57"/>
      <c r="P2669" s="57"/>
      <c r="Q2669" s="57"/>
      <c r="R2669" s="57"/>
      <c r="S2669" s="57"/>
      <c r="T2669" s="57"/>
      <c r="U2669" s="57"/>
      <c r="V2669" s="57"/>
      <c r="W2669" s="57"/>
      <c r="X2669" s="57"/>
      <c r="Y2669" s="57"/>
      <c r="Z2669" s="57"/>
      <c r="AA2669" s="57"/>
      <c r="AB2669" s="57"/>
      <c r="AC2669" s="57"/>
      <c r="AD2669" s="57"/>
      <c r="AE2669" s="57"/>
      <c r="AF2669" s="57"/>
    </row>
    <row r="2670" spans="1:32" x14ac:dyDescent="0.2">
      <c r="A2670" s="57"/>
      <c r="B2670" s="57"/>
      <c r="C2670" s="57"/>
      <c r="D2670" s="57"/>
      <c r="E2670" s="57"/>
      <c r="F2670" s="985"/>
      <c r="G2670" s="57"/>
      <c r="H2670" s="57"/>
      <c r="I2670" s="990"/>
      <c r="J2670" s="57"/>
      <c r="K2670" s="57"/>
      <c r="L2670" s="57"/>
      <c r="M2670" s="57"/>
      <c r="N2670" s="57"/>
      <c r="O2670" s="57"/>
      <c r="P2670" s="57"/>
      <c r="Q2670" s="57"/>
      <c r="R2670" s="57"/>
      <c r="S2670" s="57"/>
      <c r="T2670" s="57"/>
      <c r="U2670" s="57"/>
      <c r="V2670" s="57"/>
      <c r="W2670" s="57"/>
      <c r="X2670" s="57"/>
      <c r="Y2670" s="57"/>
      <c r="Z2670" s="57"/>
      <c r="AA2670" s="57"/>
      <c r="AB2670" s="57"/>
      <c r="AC2670" s="57"/>
      <c r="AD2670" s="57"/>
      <c r="AE2670" s="57"/>
      <c r="AF2670" s="57"/>
    </row>
    <row r="2671" spans="1:32" x14ac:dyDescent="0.2">
      <c r="A2671" s="57"/>
      <c r="B2671" s="57"/>
      <c r="C2671" s="57"/>
      <c r="D2671" s="57"/>
      <c r="E2671" s="57"/>
      <c r="F2671" s="985"/>
      <c r="G2671" s="57"/>
      <c r="H2671" s="57"/>
      <c r="I2671" s="990"/>
      <c r="J2671" s="57"/>
      <c r="K2671" s="57"/>
      <c r="L2671" s="57"/>
      <c r="M2671" s="57"/>
      <c r="N2671" s="57"/>
      <c r="O2671" s="57"/>
      <c r="P2671" s="57"/>
      <c r="Q2671" s="57"/>
      <c r="R2671" s="57"/>
      <c r="S2671" s="57"/>
      <c r="T2671" s="57"/>
      <c r="U2671" s="57"/>
      <c r="V2671" s="57"/>
      <c r="W2671" s="57"/>
      <c r="X2671" s="57"/>
      <c r="Y2671" s="57"/>
      <c r="Z2671" s="57"/>
      <c r="AA2671" s="57"/>
      <c r="AB2671" s="57"/>
      <c r="AC2671" s="57"/>
      <c r="AD2671" s="57"/>
      <c r="AE2671" s="57"/>
      <c r="AF2671" s="57"/>
    </row>
    <row r="2672" spans="1:32" x14ac:dyDescent="0.2">
      <c r="A2672" s="57"/>
      <c r="B2672" s="57"/>
      <c r="C2672" s="57"/>
      <c r="D2672" s="57"/>
      <c r="E2672" s="57"/>
      <c r="F2672" s="985"/>
      <c r="G2672" s="57"/>
      <c r="H2672" s="57"/>
      <c r="I2672" s="990"/>
      <c r="J2672" s="57"/>
      <c r="K2672" s="57"/>
      <c r="L2672" s="57"/>
      <c r="M2672" s="57"/>
      <c r="N2672" s="57"/>
      <c r="O2672" s="57"/>
      <c r="P2672" s="57"/>
      <c r="Q2672" s="57"/>
      <c r="R2672" s="57"/>
      <c r="S2672" s="57"/>
      <c r="T2672" s="57"/>
      <c r="U2672" s="57"/>
      <c r="V2672" s="57"/>
      <c r="W2672" s="57"/>
      <c r="X2672" s="57"/>
      <c r="Y2672" s="57"/>
      <c r="Z2672" s="57"/>
      <c r="AA2672" s="57"/>
      <c r="AB2672" s="57"/>
      <c r="AC2672" s="57"/>
      <c r="AD2672" s="57"/>
      <c r="AE2672" s="57"/>
      <c r="AF2672" s="57"/>
    </row>
    <row r="2673" spans="1:32" x14ac:dyDescent="0.2">
      <c r="A2673" s="57"/>
      <c r="B2673" s="57"/>
      <c r="C2673" s="57"/>
      <c r="D2673" s="57"/>
      <c r="E2673" s="57"/>
      <c r="F2673" s="985"/>
      <c r="G2673" s="57"/>
      <c r="H2673" s="57"/>
      <c r="I2673" s="990"/>
      <c r="J2673" s="57"/>
      <c r="K2673" s="57"/>
      <c r="L2673" s="57"/>
      <c r="M2673" s="57"/>
      <c r="N2673" s="57"/>
      <c r="O2673" s="57"/>
      <c r="P2673" s="57"/>
      <c r="Q2673" s="57"/>
      <c r="R2673" s="57"/>
      <c r="S2673" s="57"/>
      <c r="T2673" s="57"/>
      <c r="U2673" s="57"/>
      <c r="V2673" s="57"/>
      <c r="W2673" s="57"/>
      <c r="X2673" s="57"/>
      <c r="Y2673" s="57"/>
      <c r="Z2673" s="57"/>
      <c r="AA2673" s="57"/>
      <c r="AB2673" s="57"/>
      <c r="AC2673" s="57"/>
      <c r="AD2673" s="57"/>
      <c r="AE2673" s="57"/>
      <c r="AF2673" s="57"/>
    </row>
    <row r="2674" spans="1:32" x14ac:dyDescent="0.2">
      <c r="A2674" s="57"/>
      <c r="B2674" s="57"/>
      <c r="C2674" s="57"/>
      <c r="D2674" s="57"/>
      <c r="E2674" s="57"/>
      <c r="F2674" s="985"/>
      <c r="G2674" s="57"/>
      <c r="H2674" s="57"/>
      <c r="I2674" s="990"/>
      <c r="J2674" s="57"/>
      <c r="K2674" s="57"/>
      <c r="L2674" s="57"/>
      <c r="M2674" s="57"/>
      <c r="N2674" s="57"/>
      <c r="O2674" s="57"/>
      <c r="P2674" s="57"/>
      <c r="Q2674" s="57"/>
      <c r="R2674" s="57"/>
      <c r="S2674" s="57"/>
      <c r="T2674" s="57"/>
      <c r="U2674" s="57"/>
      <c r="V2674" s="57"/>
      <c r="W2674" s="57"/>
      <c r="X2674" s="57"/>
      <c r="Y2674" s="57"/>
      <c r="Z2674" s="57"/>
      <c r="AA2674" s="57"/>
      <c r="AB2674" s="57"/>
      <c r="AC2674" s="57"/>
      <c r="AD2674" s="57"/>
      <c r="AE2674" s="57"/>
      <c r="AF2674" s="57"/>
    </row>
    <row r="2675" spans="1:32" x14ac:dyDescent="0.2">
      <c r="A2675" s="57"/>
      <c r="B2675" s="57"/>
      <c r="C2675" s="57"/>
      <c r="D2675" s="57"/>
      <c r="E2675" s="57"/>
      <c r="F2675" s="985"/>
      <c r="G2675" s="57"/>
      <c r="H2675" s="57"/>
      <c r="I2675" s="990"/>
      <c r="J2675" s="57"/>
      <c r="K2675" s="57"/>
      <c r="L2675" s="57"/>
      <c r="M2675" s="57"/>
      <c r="N2675" s="57"/>
      <c r="O2675" s="57"/>
      <c r="P2675" s="57"/>
      <c r="Q2675" s="57"/>
      <c r="R2675" s="57"/>
      <c r="S2675" s="57"/>
      <c r="T2675" s="57"/>
      <c r="U2675" s="57"/>
      <c r="V2675" s="57"/>
      <c r="W2675" s="57"/>
      <c r="X2675" s="57"/>
      <c r="Y2675" s="57"/>
      <c r="Z2675" s="57"/>
      <c r="AA2675" s="57"/>
      <c r="AB2675" s="57"/>
      <c r="AC2675" s="57"/>
      <c r="AD2675" s="57"/>
      <c r="AE2675" s="57"/>
      <c r="AF2675" s="57"/>
    </row>
    <row r="2676" spans="1:32" x14ac:dyDescent="0.2">
      <c r="A2676" s="57"/>
      <c r="B2676" s="57"/>
      <c r="C2676" s="57"/>
      <c r="D2676" s="57"/>
      <c r="E2676" s="57"/>
      <c r="F2676" s="985"/>
      <c r="G2676" s="57"/>
      <c r="H2676" s="57"/>
      <c r="I2676" s="990"/>
      <c r="J2676" s="57"/>
      <c r="K2676" s="57"/>
      <c r="L2676" s="57"/>
      <c r="M2676" s="57"/>
      <c r="N2676" s="57"/>
      <c r="O2676" s="57"/>
      <c r="P2676" s="57"/>
      <c r="Q2676" s="57"/>
      <c r="R2676" s="57"/>
      <c r="S2676" s="57"/>
      <c r="T2676" s="57"/>
      <c r="U2676" s="57"/>
      <c r="V2676" s="57"/>
      <c r="W2676" s="57"/>
      <c r="X2676" s="57"/>
      <c r="Y2676" s="57"/>
      <c r="Z2676" s="57"/>
      <c r="AA2676" s="57"/>
      <c r="AB2676" s="57"/>
      <c r="AC2676" s="57"/>
      <c r="AD2676" s="57"/>
      <c r="AE2676" s="57"/>
      <c r="AF2676" s="57"/>
    </row>
    <row r="2677" spans="1:32" x14ac:dyDescent="0.2">
      <c r="A2677" s="57"/>
      <c r="B2677" s="57"/>
      <c r="C2677" s="57"/>
      <c r="D2677" s="57"/>
      <c r="E2677" s="57"/>
      <c r="F2677" s="985"/>
      <c r="G2677" s="57"/>
      <c r="H2677" s="57"/>
      <c r="I2677" s="990"/>
      <c r="J2677" s="57"/>
      <c r="K2677" s="57"/>
      <c r="L2677" s="57"/>
      <c r="M2677" s="57"/>
      <c r="N2677" s="57"/>
      <c r="O2677" s="57"/>
      <c r="P2677" s="57"/>
      <c r="Q2677" s="57"/>
      <c r="R2677" s="57"/>
      <c r="S2677" s="57"/>
      <c r="T2677" s="57"/>
      <c r="U2677" s="57"/>
      <c r="V2677" s="57"/>
      <c r="W2677" s="57"/>
      <c r="X2677" s="57"/>
      <c r="Y2677" s="57"/>
      <c r="Z2677" s="57"/>
      <c r="AA2677" s="57"/>
      <c r="AB2677" s="57"/>
      <c r="AC2677" s="57"/>
      <c r="AD2677" s="57"/>
      <c r="AE2677" s="57"/>
      <c r="AF2677" s="57"/>
    </row>
    <row r="2678" spans="1:32" x14ac:dyDescent="0.2">
      <c r="A2678" s="57"/>
      <c r="B2678" s="57"/>
      <c r="C2678" s="57"/>
      <c r="D2678" s="57"/>
      <c r="E2678" s="57"/>
      <c r="F2678" s="985"/>
      <c r="G2678" s="57"/>
      <c r="H2678" s="57"/>
      <c r="I2678" s="990"/>
      <c r="J2678" s="57"/>
      <c r="K2678" s="57"/>
      <c r="L2678" s="57"/>
      <c r="M2678" s="57"/>
      <c r="N2678" s="57"/>
      <c r="O2678" s="57"/>
      <c r="P2678" s="57"/>
      <c r="Q2678" s="57"/>
      <c r="R2678" s="57"/>
      <c r="S2678" s="57"/>
      <c r="T2678" s="57"/>
      <c r="U2678" s="57"/>
      <c r="V2678" s="57"/>
      <c r="W2678" s="57"/>
      <c r="X2678" s="57"/>
      <c r="Y2678" s="57"/>
      <c r="Z2678" s="57"/>
      <c r="AA2678" s="57"/>
      <c r="AB2678" s="57"/>
      <c r="AC2678" s="57"/>
      <c r="AD2678" s="57"/>
      <c r="AE2678" s="57"/>
      <c r="AF2678" s="57"/>
    </row>
    <row r="2679" spans="1:32" x14ac:dyDescent="0.2">
      <c r="A2679" s="57"/>
      <c r="B2679" s="57"/>
      <c r="C2679" s="57"/>
      <c r="D2679" s="57"/>
      <c r="E2679" s="57"/>
      <c r="F2679" s="985"/>
      <c r="G2679" s="57"/>
      <c r="H2679" s="57"/>
      <c r="I2679" s="990"/>
      <c r="J2679" s="57"/>
      <c r="K2679" s="57"/>
      <c r="L2679" s="57"/>
      <c r="M2679" s="57"/>
      <c r="N2679" s="57"/>
      <c r="O2679" s="57"/>
      <c r="P2679" s="57"/>
      <c r="Q2679" s="57"/>
      <c r="R2679" s="57"/>
      <c r="S2679" s="57"/>
      <c r="T2679" s="57"/>
      <c r="U2679" s="57"/>
      <c r="V2679" s="57"/>
      <c r="W2679" s="57"/>
      <c r="X2679" s="57"/>
      <c r="Y2679" s="57"/>
      <c r="Z2679" s="57"/>
      <c r="AA2679" s="57"/>
      <c r="AB2679" s="57"/>
      <c r="AC2679" s="57"/>
      <c r="AD2679" s="57"/>
      <c r="AE2679" s="57"/>
      <c r="AF2679" s="57"/>
    </row>
    <row r="2680" spans="1:32" x14ac:dyDescent="0.2">
      <c r="A2680" s="57"/>
      <c r="B2680" s="57"/>
      <c r="C2680" s="57"/>
      <c r="D2680" s="57"/>
      <c r="E2680" s="57"/>
      <c r="F2680" s="985"/>
      <c r="G2680" s="57"/>
      <c r="H2680" s="57"/>
      <c r="I2680" s="990"/>
      <c r="J2680" s="57"/>
      <c r="K2680" s="57"/>
      <c r="L2680" s="57"/>
      <c r="M2680" s="57"/>
      <c r="N2680" s="57"/>
      <c r="O2680" s="57"/>
      <c r="P2680" s="57"/>
      <c r="Q2680" s="57"/>
      <c r="R2680" s="57"/>
      <c r="S2680" s="57"/>
      <c r="T2680" s="57"/>
      <c r="U2680" s="57"/>
      <c r="V2680" s="57"/>
      <c r="W2680" s="57"/>
      <c r="X2680" s="57"/>
      <c r="Y2680" s="57"/>
      <c r="Z2680" s="57"/>
      <c r="AA2680" s="57"/>
      <c r="AB2680" s="57"/>
      <c r="AC2680" s="57"/>
      <c r="AD2680" s="57"/>
      <c r="AE2680" s="57"/>
      <c r="AF2680" s="57"/>
    </row>
    <row r="2681" spans="1:32" x14ac:dyDescent="0.2">
      <c r="A2681" s="57"/>
      <c r="B2681" s="57"/>
      <c r="C2681" s="57"/>
      <c r="D2681" s="57"/>
      <c r="E2681" s="57"/>
      <c r="F2681" s="985"/>
      <c r="G2681" s="57"/>
      <c r="H2681" s="57"/>
      <c r="I2681" s="990"/>
      <c r="J2681" s="57"/>
      <c r="K2681" s="57"/>
      <c r="L2681" s="57"/>
      <c r="M2681" s="57"/>
      <c r="N2681" s="57"/>
      <c r="O2681" s="57"/>
      <c r="P2681" s="57"/>
      <c r="Q2681" s="57"/>
      <c r="R2681" s="57"/>
      <c r="S2681" s="57"/>
      <c r="T2681" s="57"/>
      <c r="U2681" s="57"/>
      <c r="V2681" s="57"/>
      <c r="W2681" s="57"/>
      <c r="X2681" s="57"/>
      <c r="Y2681" s="57"/>
      <c r="Z2681" s="57"/>
      <c r="AA2681" s="57"/>
      <c r="AB2681" s="57"/>
      <c r="AC2681" s="57"/>
      <c r="AD2681" s="57"/>
      <c r="AE2681" s="57"/>
      <c r="AF2681" s="57"/>
    </row>
    <row r="2682" spans="1:32" x14ac:dyDescent="0.2">
      <c r="A2682" s="57"/>
      <c r="B2682" s="57"/>
      <c r="C2682" s="57"/>
      <c r="D2682" s="57"/>
      <c r="E2682" s="57"/>
      <c r="F2682" s="985"/>
      <c r="G2682" s="57"/>
      <c r="H2682" s="57"/>
      <c r="I2682" s="990"/>
      <c r="J2682" s="57"/>
      <c r="K2682" s="57"/>
      <c r="L2682" s="57"/>
      <c r="M2682" s="57"/>
      <c r="N2682" s="57"/>
      <c r="O2682" s="57"/>
      <c r="P2682" s="57"/>
      <c r="Q2682" s="57"/>
      <c r="R2682" s="57"/>
      <c r="S2682" s="57"/>
      <c r="T2682" s="57"/>
      <c r="U2682" s="57"/>
      <c r="V2682" s="57"/>
      <c r="W2682" s="57"/>
      <c r="X2682" s="57"/>
      <c r="Y2682" s="57"/>
      <c r="Z2682" s="57"/>
      <c r="AA2682" s="57"/>
      <c r="AB2682" s="57"/>
      <c r="AC2682" s="57"/>
      <c r="AD2682" s="57"/>
      <c r="AE2682" s="57"/>
      <c r="AF2682" s="57"/>
    </row>
    <row r="2683" spans="1:32" x14ac:dyDescent="0.2">
      <c r="A2683" s="57"/>
      <c r="B2683" s="57"/>
      <c r="C2683" s="57"/>
      <c r="D2683" s="57"/>
      <c r="E2683" s="57"/>
      <c r="F2683" s="985"/>
      <c r="G2683" s="57"/>
      <c r="H2683" s="57"/>
      <c r="I2683" s="990"/>
      <c r="J2683" s="57"/>
      <c r="K2683" s="57"/>
      <c r="L2683" s="57"/>
      <c r="M2683" s="57"/>
      <c r="N2683" s="57"/>
      <c r="O2683" s="57"/>
      <c r="P2683" s="57"/>
      <c r="Q2683" s="57"/>
      <c r="R2683" s="57"/>
      <c r="S2683" s="57"/>
      <c r="T2683" s="57"/>
      <c r="U2683" s="57"/>
      <c r="V2683" s="57"/>
      <c r="W2683" s="57"/>
      <c r="X2683" s="57"/>
      <c r="Y2683" s="57"/>
      <c r="Z2683" s="57"/>
      <c r="AA2683" s="57"/>
      <c r="AB2683" s="57"/>
      <c r="AC2683" s="57"/>
      <c r="AD2683" s="57"/>
      <c r="AE2683" s="57"/>
      <c r="AF2683" s="57"/>
    </row>
    <row r="2684" spans="1:32" x14ac:dyDescent="0.2">
      <c r="A2684" s="57"/>
      <c r="B2684" s="57"/>
      <c r="C2684" s="57"/>
      <c r="D2684" s="57"/>
      <c r="E2684" s="57"/>
      <c r="F2684" s="985"/>
      <c r="G2684" s="57"/>
      <c r="H2684" s="57"/>
      <c r="I2684" s="990"/>
      <c r="J2684" s="57"/>
      <c r="K2684" s="57"/>
      <c r="L2684" s="57"/>
      <c r="M2684" s="57"/>
      <c r="N2684" s="57"/>
      <c r="O2684" s="57"/>
      <c r="P2684" s="57"/>
      <c r="Q2684" s="57"/>
      <c r="R2684" s="57"/>
      <c r="S2684" s="57"/>
      <c r="T2684" s="57"/>
      <c r="U2684" s="57"/>
      <c r="V2684" s="57"/>
      <c r="W2684" s="57"/>
      <c r="X2684" s="57"/>
      <c r="Y2684" s="57"/>
      <c r="Z2684" s="57"/>
      <c r="AA2684" s="57"/>
      <c r="AB2684" s="57"/>
      <c r="AC2684" s="57"/>
      <c r="AD2684" s="57"/>
      <c r="AE2684" s="57"/>
      <c r="AF2684" s="57"/>
    </row>
    <row r="2685" spans="1:32" x14ac:dyDescent="0.2">
      <c r="A2685" s="57"/>
      <c r="B2685" s="57"/>
      <c r="C2685" s="57"/>
      <c r="D2685" s="57"/>
      <c r="E2685" s="57"/>
      <c r="F2685" s="985"/>
      <c r="G2685" s="57"/>
      <c r="H2685" s="57"/>
      <c r="I2685" s="990"/>
      <c r="J2685" s="57"/>
      <c r="K2685" s="57"/>
      <c r="L2685" s="57"/>
      <c r="M2685" s="57"/>
      <c r="N2685" s="57"/>
      <c r="O2685" s="57"/>
      <c r="P2685" s="57"/>
      <c r="Q2685" s="57"/>
      <c r="R2685" s="57"/>
      <c r="S2685" s="57"/>
      <c r="T2685" s="57"/>
      <c r="U2685" s="57"/>
      <c r="V2685" s="57"/>
      <c r="W2685" s="57"/>
      <c r="X2685" s="57"/>
      <c r="Y2685" s="57"/>
      <c r="Z2685" s="57"/>
      <c r="AA2685" s="57"/>
      <c r="AB2685" s="57"/>
      <c r="AC2685" s="57"/>
      <c r="AD2685" s="57"/>
      <c r="AE2685" s="57"/>
      <c r="AF2685" s="57"/>
    </row>
    <row r="2686" spans="1:32" x14ac:dyDescent="0.2">
      <c r="A2686" s="57"/>
      <c r="B2686" s="57"/>
      <c r="C2686" s="57"/>
      <c r="D2686" s="57"/>
      <c r="E2686" s="57"/>
      <c r="F2686" s="985"/>
      <c r="G2686" s="57"/>
      <c r="H2686" s="57"/>
      <c r="I2686" s="990"/>
      <c r="J2686" s="57"/>
      <c r="K2686" s="57"/>
      <c r="L2686" s="57"/>
      <c r="M2686" s="57"/>
      <c r="N2686" s="57"/>
      <c r="O2686" s="57"/>
      <c r="P2686" s="57"/>
      <c r="Q2686" s="57"/>
      <c r="R2686" s="57"/>
      <c r="S2686" s="57"/>
      <c r="T2686" s="57"/>
      <c r="U2686" s="57"/>
      <c r="V2686" s="57"/>
      <c r="W2686" s="57"/>
      <c r="X2686" s="57"/>
      <c r="Y2686" s="57"/>
      <c r="Z2686" s="57"/>
      <c r="AA2686" s="57"/>
      <c r="AB2686" s="57"/>
      <c r="AC2686" s="57"/>
      <c r="AD2686" s="57"/>
      <c r="AE2686" s="57"/>
      <c r="AF2686" s="57"/>
    </row>
    <row r="2687" spans="1:32" x14ac:dyDescent="0.2">
      <c r="A2687" s="57"/>
      <c r="B2687" s="57"/>
      <c r="C2687" s="57"/>
      <c r="D2687" s="57"/>
      <c r="E2687" s="57"/>
      <c r="F2687" s="985"/>
      <c r="G2687" s="57"/>
      <c r="H2687" s="57"/>
      <c r="I2687" s="990"/>
      <c r="J2687" s="57"/>
      <c r="K2687" s="57"/>
      <c r="L2687" s="57"/>
      <c r="M2687" s="57"/>
      <c r="N2687" s="57"/>
      <c r="O2687" s="57"/>
      <c r="P2687" s="57"/>
      <c r="Q2687" s="57"/>
      <c r="R2687" s="57"/>
      <c r="S2687" s="57"/>
      <c r="T2687" s="57"/>
      <c r="U2687" s="57"/>
      <c r="V2687" s="57"/>
      <c r="W2687" s="57"/>
      <c r="X2687" s="57"/>
      <c r="Y2687" s="57"/>
      <c r="Z2687" s="57"/>
      <c r="AA2687" s="57"/>
      <c r="AB2687" s="57"/>
      <c r="AC2687" s="57"/>
      <c r="AD2687" s="57"/>
      <c r="AE2687" s="57"/>
      <c r="AF2687" s="57"/>
    </row>
    <row r="2688" spans="1:32" x14ac:dyDescent="0.2">
      <c r="A2688" s="57"/>
      <c r="B2688" s="57"/>
      <c r="C2688" s="57"/>
      <c r="D2688" s="57"/>
      <c r="E2688" s="57"/>
      <c r="F2688" s="985"/>
      <c r="G2688" s="57"/>
      <c r="H2688" s="57"/>
      <c r="I2688" s="990"/>
      <c r="J2688" s="57"/>
      <c r="K2688" s="57"/>
      <c r="L2688" s="57"/>
      <c r="M2688" s="57"/>
      <c r="N2688" s="57"/>
      <c r="O2688" s="57"/>
      <c r="P2688" s="57"/>
      <c r="Q2688" s="57"/>
      <c r="R2688" s="57"/>
      <c r="S2688" s="57"/>
      <c r="T2688" s="57"/>
      <c r="U2688" s="57"/>
      <c r="V2688" s="57"/>
      <c r="W2688" s="57"/>
      <c r="X2688" s="57"/>
      <c r="Y2688" s="57"/>
      <c r="Z2688" s="57"/>
      <c r="AA2688" s="57"/>
      <c r="AB2688" s="57"/>
      <c r="AC2688" s="57"/>
      <c r="AD2688" s="57"/>
      <c r="AE2688" s="57"/>
      <c r="AF2688" s="57"/>
    </row>
    <row r="2689" spans="1:32" x14ac:dyDescent="0.2">
      <c r="A2689" s="57"/>
      <c r="B2689" s="57"/>
      <c r="C2689" s="57"/>
      <c r="D2689" s="57"/>
      <c r="E2689" s="57"/>
      <c r="F2689" s="985"/>
      <c r="G2689" s="57"/>
      <c r="H2689" s="57"/>
      <c r="I2689" s="990"/>
      <c r="J2689" s="57"/>
      <c r="K2689" s="57"/>
      <c r="L2689" s="57"/>
      <c r="M2689" s="57"/>
      <c r="N2689" s="57"/>
      <c r="O2689" s="57"/>
      <c r="P2689" s="57"/>
      <c r="Q2689" s="57"/>
      <c r="R2689" s="57"/>
      <c r="S2689" s="57"/>
      <c r="T2689" s="57"/>
      <c r="U2689" s="57"/>
      <c r="V2689" s="57"/>
      <c r="W2689" s="57"/>
      <c r="X2689" s="57"/>
      <c r="Y2689" s="57"/>
      <c r="Z2689" s="57"/>
      <c r="AA2689" s="57"/>
      <c r="AB2689" s="57"/>
      <c r="AC2689" s="57"/>
      <c r="AD2689" s="57"/>
      <c r="AE2689" s="57"/>
      <c r="AF2689" s="57"/>
    </row>
    <row r="2690" spans="1:32" x14ac:dyDescent="0.2">
      <c r="A2690" s="57"/>
      <c r="B2690" s="57"/>
      <c r="C2690" s="57"/>
      <c r="D2690" s="57"/>
      <c r="E2690" s="57"/>
      <c r="F2690" s="985"/>
      <c r="G2690" s="57"/>
      <c r="H2690" s="57"/>
      <c r="I2690" s="990"/>
      <c r="J2690" s="57"/>
      <c r="K2690" s="57"/>
      <c r="L2690" s="57"/>
      <c r="M2690" s="57"/>
      <c r="N2690" s="57"/>
      <c r="O2690" s="57"/>
      <c r="P2690" s="57"/>
      <c r="Q2690" s="57"/>
      <c r="R2690" s="57"/>
      <c r="S2690" s="57"/>
      <c r="T2690" s="57"/>
      <c r="U2690" s="57"/>
      <c r="V2690" s="57"/>
      <c r="W2690" s="57"/>
      <c r="X2690" s="57"/>
      <c r="Y2690" s="57"/>
      <c r="Z2690" s="57"/>
      <c r="AA2690" s="57"/>
      <c r="AB2690" s="57"/>
      <c r="AC2690" s="57"/>
      <c r="AD2690" s="57"/>
      <c r="AE2690" s="57"/>
      <c r="AF2690" s="57"/>
    </row>
    <row r="2691" spans="1:32" x14ac:dyDescent="0.2">
      <c r="A2691" s="57"/>
      <c r="B2691" s="57"/>
      <c r="C2691" s="57"/>
      <c r="D2691" s="57"/>
      <c r="E2691" s="57"/>
      <c r="F2691" s="985"/>
      <c r="G2691" s="57"/>
      <c r="H2691" s="57"/>
      <c r="I2691" s="990"/>
      <c r="J2691" s="57"/>
      <c r="K2691" s="57"/>
      <c r="L2691" s="57"/>
      <c r="M2691" s="57"/>
      <c r="N2691" s="57"/>
      <c r="O2691" s="57"/>
      <c r="P2691" s="57"/>
      <c r="Q2691" s="57"/>
      <c r="R2691" s="57"/>
      <c r="S2691" s="57"/>
      <c r="T2691" s="57"/>
      <c r="U2691" s="57"/>
      <c r="V2691" s="57"/>
      <c r="W2691" s="57"/>
      <c r="X2691" s="57"/>
      <c r="Y2691" s="57"/>
      <c r="Z2691" s="57"/>
      <c r="AA2691" s="57"/>
      <c r="AB2691" s="57"/>
      <c r="AC2691" s="57"/>
      <c r="AD2691" s="57"/>
      <c r="AE2691" s="57"/>
      <c r="AF2691" s="57"/>
    </row>
    <row r="2692" spans="1:32" x14ac:dyDescent="0.2">
      <c r="A2692" s="57"/>
      <c r="B2692" s="57"/>
      <c r="C2692" s="57"/>
      <c r="D2692" s="57"/>
      <c r="E2692" s="57"/>
      <c r="F2692" s="985"/>
      <c r="G2692" s="57"/>
      <c r="H2692" s="57"/>
      <c r="I2692" s="990"/>
      <c r="J2692" s="57"/>
      <c r="K2692" s="57"/>
      <c r="L2692" s="57"/>
      <c r="M2692" s="57"/>
      <c r="N2692" s="57"/>
      <c r="O2692" s="57"/>
      <c r="P2692" s="57"/>
      <c r="Q2692" s="57"/>
      <c r="R2692" s="57"/>
      <c r="S2692" s="57"/>
      <c r="T2692" s="57"/>
      <c r="U2692" s="57"/>
      <c r="V2692" s="57"/>
      <c r="W2692" s="57"/>
      <c r="X2692" s="57"/>
      <c r="Y2692" s="57"/>
      <c r="Z2692" s="57"/>
      <c r="AA2692" s="57"/>
      <c r="AB2692" s="57"/>
      <c r="AC2692" s="57"/>
      <c r="AD2692" s="57"/>
      <c r="AE2692" s="57"/>
      <c r="AF2692" s="57"/>
    </row>
    <row r="2693" spans="1:32" x14ac:dyDescent="0.2">
      <c r="A2693" s="57"/>
      <c r="B2693" s="57"/>
      <c r="C2693" s="57"/>
      <c r="D2693" s="57"/>
      <c r="E2693" s="57"/>
      <c r="F2693" s="985"/>
      <c r="G2693" s="57"/>
      <c r="H2693" s="57"/>
      <c r="I2693" s="990"/>
      <c r="J2693" s="57"/>
      <c r="K2693" s="57"/>
      <c r="L2693" s="57"/>
      <c r="M2693" s="57"/>
      <c r="N2693" s="57"/>
      <c r="O2693" s="57"/>
      <c r="P2693" s="57"/>
      <c r="Q2693" s="57"/>
      <c r="R2693" s="57"/>
      <c r="S2693" s="57"/>
      <c r="T2693" s="57"/>
      <c r="U2693" s="57"/>
      <c r="V2693" s="57"/>
      <c r="W2693" s="57"/>
      <c r="X2693" s="57"/>
      <c r="Y2693" s="57"/>
      <c r="Z2693" s="57"/>
      <c r="AA2693" s="57"/>
      <c r="AB2693" s="57"/>
      <c r="AC2693" s="57"/>
      <c r="AD2693" s="57"/>
      <c r="AE2693" s="57"/>
      <c r="AF2693" s="57"/>
    </row>
    <row r="2694" spans="1:32" x14ac:dyDescent="0.2">
      <c r="A2694" s="57"/>
      <c r="B2694" s="57"/>
      <c r="C2694" s="57"/>
      <c r="D2694" s="57"/>
      <c r="E2694" s="57"/>
      <c r="F2694" s="985"/>
      <c r="G2694" s="57"/>
      <c r="H2694" s="57"/>
      <c r="I2694" s="990"/>
      <c r="J2694" s="57"/>
      <c r="K2694" s="57"/>
      <c r="L2694" s="57"/>
      <c r="M2694" s="57"/>
      <c r="N2694" s="57"/>
      <c r="O2694" s="57"/>
      <c r="P2694" s="57"/>
      <c r="Q2694" s="57"/>
      <c r="R2694" s="57"/>
      <c r="S2694" s="57"/>
      <c r="T2694" s="57"/>
      <c r="U2694" s="57"/>
      <c r="V2694" s="57"/>
      <c r="W2694" s="57"/>
      <c r="X2694" s="57"/>
      <c r="Y2694" s="57"/>
      <c r="Z2694" s="57"/>
      <c r="AA2694" s="57"/>
      <c r="AB2694" s="57"/>
      <c r="AC2694" s="57"/>
      <c r="AD2694" s="57"/>
      <c r="AE2694" s="57"/>
      <c r="AF2694" s="57"/>
    </row>
    <row r="2695" spans="1:32" x14ac:dyDescent="0.2">
      <c r="A2695" s="57"/>
      <c r="B2695" s="57"/>
      <c r="C2695" s="57"/>
      <c r="D2695" s="57"/>
      <c r="E2695" s="57"/>
      <c r="F2695" s="985"/>
      <c r="G2695" s="57"/>
      <c r="H2695" s="57"/>
      <c r="I2695" s="990"/>
      <c r="J2695" s="57"/>
      <c r="K2695" s="57"/>
      <c r="L2695" s="57"/>
      <c r="M2695" s="57"/>
      <c r="N2695" s="57"/>
      <c r="O2695" s="57"/>
      <c r="P2695" s="57"/>
      <c r="Q2695" s="57"/>
      <c r="R2695" s="57"/>
      <c r="S2695" s="57"/>
      <c r="T2695" s="57"/>
      <c r="U2695" s="57"/>
      <c r="V2695" s="57"/>
      <c r="W2695" s="57"/>
      <c r="X2695" s="57"/>
      <c r="Y2695" s="57"/>
      <c r="Z2695" s="57"/>
      <c r="AA2695" s="57"/>
      <c r="AB2695" s="57"/>
      <c r="AC2695" s="57"/>
      <c r="AD2695" s="57"/>
      <c r="AE2695" s="57"/>
      <c r="AF2695" s="57"/>
    </row>
    <row r="2696" spans="1:32" x14ac:dyDescent="0.2">
      <c r="A2696" s="57"/>
      <c r="B2696" s="57"/>
      <c r="C2696" s="57"/>
      <c r="D2696" s="57"/>
      <c r="E2696" s="57"/>
      <c r="F2696" s="985"/>
      <c r="G2696" s="57"/>
      <c r="H2696" s="57"/>
      <c r="I2696" s="990"/>
      <c r="J2696" s="57"/>
      <c r="K2696" s="57"/>
      <c r="L2696" s="57"/>
      <c r="M2696" s="57"/>
      <c r="N2696" s="57"/>
      <c r="O2696" s="57"/>
      <c r="P2696" s="57"/>
      <c r="Q2696" s="57"/>
      <c r="R2696" s="57"/>
      <c r="S2696" s="57"/>
      <c r="T2696" s="57"/>
      <c r="U2696" s="57"/>
      <c r="V2696" s="57"/>
      <c r="W2696" s="57"/>
      <c r="X2696" s="57"/>
      <c r="Y2696" s="57"/>
      <c r="Z2696" s="57"/>
      <c r="AA2696" s="57"/>
      <c r="AB2696" s="57"/>
      <c r="AC2696" s="57"/>
      <c r="AD2696" s="57"/>
      <c r="AE2696" s="57"/>
      <c r="AF2696" s="57"/>
    </row>
    <row r="2697" spans="1:32" x14ac:dyDescent="0.2">
      <c r="A2697" s="57"/>
      <c r="B2697" s="57"/>
      <c r="C2697" s="57"/>
      <c r="D2697" s="57"/>
      <c r="E2697" s="57"/>
      <c r="F2697" s="985"/>
      <c r="G2697" s="57"/>
      <c r="H2697" s="57"/>
      <c r="I2697" s="990"/>
      <c r="J2697" s="57"/>
      <c r="K2697" s="57"/>
      <c r="L2697" s="57"/>
      <c r="M2697" s="57"/>
      <c r="N2697" s="57"/>
      <c r="O2697" s="57"/>
      <c r="P2697" s="57"/>
      <c r="Q2697" s="57"/>
      <c r="R2697" s="57"/>
      <c r="S2697" s="57"/>
      <c r="T2697" s="57"/>
      <c r="U2697" s="57"/>
      <c r="V2697" s="57"/>
      <c r="W2697" s="57"/>
      <c r="X2697" s="57"/>
      <c r="Y2697" s="57"/>
      <c r="Z2697" s="57"/>
      <c r="AA2697" s="57"/>
      <c r="AB2697" s="57"/>
      <c r="AC2697" s="57"/>
      <c r="AD2697" s="57"/>
      <c r="AE2697" s="57"/>
      <c r="AF2697" s="57"/>
    </row>
    <row r="2698" spans="1:32" x14ac:dyDescent="0.2">
      <c r="A2698" s="57"/>
      <c r="B2698" s="57"/>
      <c r="C2698" s="57"/>
      <c r="D2698" s="57"/>
      <c r="E2698" s="57"/>
      <c r="F2698" s="985"/>
      <c r="G2698" s="57"/>
      <c r="H2698" s="57"/>
      <c r="I2698" s="990"/>
      <c r="J2698" s="57"/>
      <c r="K2698" s="57"/>
      <c r="L2698" s="57"/>
      <c r="M2698" s="57"/>
      <c r="N2698" s="57"/>
      <c r="O2698" s="57"/>
      <c r="P2698" s="57"/>
      <c r="Q2698" s="57"/>
      <c r="R2698" s="57"/>
      <c r="S2698" s="57"/>
      <c r="T2698" s="57"/>
      <c r="U2698" s="57"/>
      <c r="V2698" s="57"/>
      <c r="W2698" s="57"/>
      <c r="X2698" s="57"/>
      <c r="Y2698" s="57"/>
      <c r="Z2698" s="57"/>
      <c r="AA2698" s="57"/>
      <c r="AB2698" s="57"/>
      <c r="AC2698" s="57"/>
      <c r="AD2698" s="57"/>
      <c r="AE2698" s="57"/>
      <c r="AF2698" s="57"/>
    </row>
    <row r="2699" spans="1:32" x14ac:dyDescent="0.2">
      <c r="A2699" s="57"/>
      <c r="B2699" s="57"/>
      <c r="C2699" s="57"/>
      <c r="D2699" s="57"/>
      <c r="E2699" s="57"/>
      <c r="F2699" s="985"/>
      <c r="G2699" s="57"/>
      <c r="H2699" s="57"/>
      <c r="I2699" s="990"/>
      <c r="J2699" s="57"/>
      <c r="K2699" s="57"/>
      <c r="L2699" s="57"/>
      <c r="M2699" s="57"/>
      <c r="N2699" s="57"/>
      <c r="O2699" s="57"/>
      <c r="P2699" s="57"/>
      <c r="Q2699" s="57"/>
      <c r="R2699" s="57"/>
      <c r="S2699" s="57"/>
      <c r="T2699" s="57"/>
      <c r="U2699" s="57"/>
      <c r="V2699" s="57"/>
      <c r="W2699" s="57"/>
      <c r="X2699" s="57"/>
      <c r="Y2699" s="57"/>
      <c r="Z2699" s="57"/>
      <c r="AA2699" s="57"/>
      <c r="AB2699" s="57"/>
      <c r="AC2699" s="57"/>
      <c r="AD2699" s="57"/>
      <c r="AE2699" s="57"/>
      <c r="AF2699" s="57"/>
    </row>
    <row r="2700" spans="1:32" x14ac:dyDescent="0.2">
      <c r="A2700" s="57"/>
      <c r="B2700" s="57"/>
      <c r="C2700" s="57"/>
      <c r="D2700" s="57"/>
      <c r="E2700" s="57"/>
      <c r="F2700" s="985"/>
      <c r="G2700" s="57"/>
      <c r="H2700" s="57"/>
      <c r="I2700" s="990"/>
      <c r="J2700" s="57"/>
      <c r="K2700" s="57"/>
      <c r="L2700" s="57"/>
      <c r="M2700" s="57"/>
      <c r="N2700" s="57"/>
      <c r="O2700" s="57"/>
      <c r="P2700" s="57"/>
      <c r="Q2700" s="57"/>
      <c r="R2700" s="57"/>
      <c r="S2700" s="57"/>
      <c r="T2700" s="57"/>
      <c r="U2700" s="57"/>
      <c r="V2700" s="57"/>
      <c r="W2700" s="57"/>
      <c r="X2700" s="57"/>
      <c r="Y2700" s="57"/>
      <c r="Z2700" s="57"/>
      <c r="AA2700" s="57"/>
      <c r="AB2700" s="57"/>
      <c r="AC2700" s="57"/>
      <c r="AD2700" s="57"/>
      <c r="AE2700" s="57"/>
      <c r="AF2700" s="57"/>
    </row>
    <row r="2701" spans="1:32" x14ac:dyDescent="0.2">
      <c r="A2701" s="57"/>
      <c r="B2701" s="57"/>
      <c r="C2701" s="57"/>
      <c r="D2701" s="57"/>
      <c r="E2701" s="57"/>
      <c r="F2701" s="985"/>
      <c r="G2701" s="57"/>
      <c r="H2701" s="57"/>
      <c r="I2701" s="990"/>
      <c r="J2701" s="57"/>
      <c r="K2701" s="57"/>
      <c r="L2701" s="57"/>
      <c r="M2701" s="57"/>
      <c r="N2701" s="57"/>
      <c r="O2701" s="57"/>
      <c r="P2701" s="57"/>
      <c r="Q2701" s="57"/>
      <c r="R2701" s="57"/>
      <c r="S2701" s="57"/>
      <c r="T2701" s="57"/>
      <c r="U2701" s="57"/>
      <c r="V2701" s="57"/>
      <c r="W2701" s="57"/>
      <c r="X2701" s="57"/>
      <c r="Y2701" s="57"/>
      <c r="Z2701" s="57"/>
      <c r="AA2701" s="57"/>
      <c r="AB2701" s="57"/>
      <c r="AC2701" s="57"/>
      <c r="AD2701" s="57"/>
      <c r="AE2701" s="57"/>
      <c r="AF2701" s="57"/>
    </row>
    <row r="2702" spans="1:32" x14ac:dyDescent="0.2">
      <c r="A2702" s="57"/>
      <c r="B2702" s="57"/>
      <c r="C2702" s="57"/>
      <c r="D2702" s="57"/>
      <c r="E2702" s="57"/>
      <c r="F2702" s="985"/>
      <c r="G2702" s="57"/>
      <c r="H2702" s="57"/>
      <c r="I2702" s="990"/>
      <c r="J2702" s="57"/>
      <c r="K2702" s="57"/>
      <c r="L2702" s="57"/>
      <c r="M2702" s="57"/>
      <c r="N2702" s="57"/>
      <c r="O2702" s="57"/>
      <c r="P2702" s="57"/>
      <c r="Q2702" s="57"/>
      <c r="R2702" s="57"/>
      <c r="S2702" s="57"/>
      <c r="T2702" s="57"/>
      <c r="U2702" s="57"/>
      <c r="V2702" s="57"/>
      <c r="W2702" s="57"/>
      <c r="X2702" s="57"/>
      <c r="Y2702" s="57"/>
      <c r="Z2702" s="57"/>
      <c r="AA2702" s="57"/>
      <c r="AB2702" s="57"/>
      <c r="AC2702" s="57"/>
      <c r="AD2702" s="57"/>
      <c r="AE2702" s="57"/>
      <c r="AF2702" s="57"/>
    </row>
    <row r="2703" spans="1:32" x14ac:dyDescent="0.2">
      <c r="A2703" s="57"/>
      <c r="B2703" s="57"/>
      <c r="C2703" s="57"/>
      <c r="D2703" s="57"/>
      <c r="E2703" s="57"/>
      <c r="F2703" s="985"/>
      <c r="G2703" s="57"/>
      <c r="H2703" s="57"/>
      <c r="I2703" s="990"/>
      <c r="J2703" s="57"/>
      <c r="K2703" s="57"/>
      <c r="L2703" s="57"/>
      <c r="M2703" s="57"/>
      <c r="N2703" s="57"/>
      <c r="O2703" s="57"/>
      <c r="P2703" s="57"/>
      <c r="Q2703" s="57"/>
      <c r="R2703" s="57"/>
      <c r="S2703" s="57"/>
      <c r="T2703" s="57"/>
      <c r="U2703" s="57"/>
      <c r="V2703" s="57"/>
      <c r="W2703" s="57"/>
      <c r="X2703" s="57"/>
      <c r="Y2703" s="57"/>
      <c r="Z2703" s="57"/>
      <c r="AA2703" s="57"/>
      <c r="AB2703" s="57"/>
      <c r="AC2703" s="57"/>
      <c r="AD2703" s="57"/>
      <c r="AE2703" s="57"/>
      <c r="AF2703" s="57"/>
    </row>
    <row r="2704" spans="1:32" x14ac:dyDescent="0.2">
      <c r="A2704" s="57"/>
      <c r="B2704" s="57"/>
      <c r="C2704" s="57"/>
      <c r="D2704" s="57"/>
      <c r="E2704" s="57"/>
      <c r="F2704" s="985"/>
      <c r="G2704" s="57"/>
      <c r="H2704" s="57"/>
      <c r="I2704" s="990"/>
      <c r="J2704" s="57"/>
      <c r="K2704" s="57"/>
      <c r="L2704" s="57"/>
      <c r="M2704" s="57"/>
      <c r="N2704" s="57"/>
      <c r="O2704" s="57"/>
      <c r="P2704" s="57"/>
      <c r="Q2704" s="57"/>
      <c r="R2704" s="57"/>
      <c r="S2704" s="57"/>
      <c r="T2704" s="57"/>
      <c r="U2704" s="57"/>
      <c r="V2704" s="57"/>
      <c r="W2704" s="57"/>
      <c r="X2704" s="57"/>
      <c r="Y2704" s="57"/>
      <c r="Z2704" s="57"/>
      <c r="AA2704" s="57"/>
      <c r="AB2704" s="57"/>
      <c r="AC2704" s="57"/>
      <c r="AD2704" s="57"/>
      <c r="AE2704" s="57"/>
      <c r="AF2704" s="57"/>
    </row>
    <row r="2705" spans="1:32" x14ac:dyDescent="0.2">
      <c r="A2705" s="57"/>
      <c r="B2705" s="57"/>
      <c r="C2705" s="57"/>
      <c r="D2705" s="57"/>
      <c r="E2705" s="57"/>
      <c r="F2705" s="985"/>
      <c r="G2705" s="57"/>
      <c r="H2705" s="57"/>
      <c r="I2705" s="990"/>
      <c r="J2705" s="57"/>
      <c r="K2705" s="57"/>
      <c r="L2705" s="57"/>
      <c r="M2705" s="57"/>
      <c r="N2705" s="57"/>
      <c r="O2705" s="57"/>
      <c r="P2705" s="57"/>
      <c r="Q2705" s="57"/>
      <c r="R2705" s="57"/>
      <c r="S2705" s="57"/>
      <c r="T2705" s="57"/>
      <c r="U2705" s="57"/>
      <c r="V2705" s="57"/>
      <c r="W2705" s="57"/>
      <c r="X2705" s="57"/>
      <c r="Y2705" s="57"/>
      <c r="Z2705" s="57"/>
      <c r="AA2705" s="57"/>
      <c r="AB2705" s="57"/>
      <c r="AC2705" s="57"/>
      <c r="AD2705" s="57"/>
      <c r="AE2705" s="57"/>
      <c r="AF2705" s="57"/>
    </row>
    <row r="2706" spans="1:32" x14ac:dyDescent="0.2">
      <c r="A2706" s="57"/>
      <c r="B2706" s="57"/>
      <c r="C2706" s="57"/>
      <c r="D2706" s="57"/>
      <c r="E2706" s="57"/>
      <c r="F2706" s="985"/>
      <c r="G2706" s="57"/>
      <c r="H2706" s="57"/>
      <c r="I2706" s="990"/>
      <c r="J2706" s="57"/>
      <c r="K2706" s="57"/>
      <c r="L2706" s="57"/>
      <c r="M2706" s="57"/>
      <c r="N2706" s="57"/>
      <c r="O2706" s="57"/>
      <c r="P2706" s="57"/>
      <c r="Q2706" s="57"/>
      <c r="R2706" s="57"/>
      <c r="S2706" s="57"/>
      <c r="T2706" s="57"/>
      <c r="U2706" s="57"/>
      <c r="V2706" s="57"/>
      <c r="W2706" s="57"/>
      <c r="X2706" s="57"/>
      <c r="Y2706" s="57"/>
      <c r="Z2706" s="57"/>
      <c r="AA2706" s="57"/>
      <c r="AB2706" s="57"/>
      <c r="AC2706" s="57"/>
      <c r="AD2706" s="57"/>
      <c r="AE2706" s="57"/>
      <c r="AF2706" s="57"/>
    </row>
    <row r="2707" spans="1:32" x14ac:dyDescent="0.2">
      <c r="A2707" s="57"/>
      <c r="B2707" s="57"/>
      <c r="C2707" s="57"/>
      <c r="D2707" s="57"/>
      <c r="E2707" s="57"/>
      <c r="F2707" s="985"/>
      <c r="G2707" s="57"/>
      <c r="H2707" s="57"/>
      <c r="I2707" s="990"/>
      <c r="J2707" s="57"/>
      <c r="K2707" s="57"/>
      <c r="L2707" s="57"/>
      <c r="M2707" s="57"/>
      <c r="N2707" s="57"/>
      <c r="O2707" s="57"/>
      <c r="P2707" s="57"/>
      <c r="Q2707" s="57"/>
      <c r="R2707" s="57"/>
      <c r="S2707" s="57"/>
      <c r="T2707" s="57"/>
      <c r="U2707" s="57"/>
      <c r="V2707" s="57"/>
      <c r="W2707" s="57"/>
      <c r="X2707" s="57"/>
      <c r="Y2707" s="57"/>
      <c r="Z2707" s="57"/>
      <c r="AA2707" s="57"/>
      <c r="AB2707" s="57"/>
      <c r="AC2707" s="57"/>
      <c r="AD2707" s="57"/>
      <c r="AE2707" s="57"/>
      <c r="AF2707" s="57"/>
    </row>
    <row r="2708" spans="1:32" x14ac:dyDescent="0.2">
      <c r="A2708" s="57"/>
      <c r="B2708" s="57"/>
      <c r="C2708" s="57"/>
      <c r="D2708" s="57"/>
      <c r="E2708" s="57"/>
      <c r="F2708" s="985"/>
      <c r="G2708" s="57"/>
      <c r="H2708" s="57"/>
      <c r="I2708" s="990"/>
      <c r="J2708" s="57"/>
      <c r="K2708" s="57"/>
      <c r="L2708" s="57"/>
      <c r="M2708" s="57"/>
      <c r="N2708" s="57"/>
      <c r="O2708" s="57"/>
      <c r="P2708" s="57"/>
      <c r="Q2708" s="57"/>
      <c r="R2708" s="57"/>
      <c r="S2708" s="57"/>
      <c r="T2708" s="57"/>
      <c r="U2708" s="57"/>
      <c r="V2708" s="57"/>
      <c r="W2708" s="57"/>
      <c r="X2708" s="57"/>
      <c r="Y2708" s="57"/>
      <c r="Z2708" s="57"/>
      <c r="AA2708" s="57"/>
      <c r="AB2708" s="57"/>
      <c r="AC2708" s="57"/>
      <c r="AD2708" s="57"/>
      <c r="AE2708" s="57"/>
      <c r="AF2708" s="57"/>
    </row>
    <row r="2709" spans="1:32" x14ac:dyDescent="0.2">
      <c r="A2709" s="57"/>
      <c r="B2709" s="57"/>
      <c r="C2709" s="57"/>
      <c r="D2709" s="57"/>
      <c r="E2709" s="57"/>
      <c r="F2709" s="985"/>
      <c r="G2709" s="57"/>
      <c r="H2709" s="57"/>
      <c r="I2709" s="990"/>
      <c r="J2709" s="57"/>
      <c r="K2709" s="57"/>
      <c r="L2709" s="57"/>
      <c r="M2709" s="57"/>
      <c r="N2709" s="57"/>
      <c r="O2709" s="57"/>
      <c r="P2709" s="57"/>
      <c r="Q2709" s="57"/>
      <c r="R2709" s="57"/>
      <c r="S2709" s="57"/>
      <c r="T2709" s="57"/>
      <c r="U2709" s="57"/>
      <c r="V2709" s="57"/>
      <c r="W2709" s="57"/>
      <c r="X2709" s="57"/>
      <c r="Y2709" s="57"/>
      <c r="Z2709" s="57"/>
      <c r="AA2709" s="57"/>
      <c r="AB2709" s="57"/>
      <c r="AC2709" s="57"/>
      <c r="AD2709" s="57"/>
      <c r="AE2709" s="57"/>
      <c r="AF2709" s="57"/>
    </row>
    <row r="2710" spans="1:32" x14ac:dyDescent="0.2">
      <c r="A2710" s="57"/>
      <c r="B2710" s="57"/>
      <c r="C2710" s="57"/>
      <c r="D2710" s="57"/>
      <c r="E2710" s="57"/>
      <c r="F2710" s="985"/>
      <c r="G2710" s="57"/>
      <c r="H2710" s="57"/>
      <c r="I2710" s="990"/>
      <c r="J2710" s="57"/>
      <c r="K2710" s="57"/>
      <c r="L2710" s="57"/>
      <c r="M2710" s="57"/>
      <c r="N2710" s="57"/>
      <c r="O2710" s="57"/>
      <c r="P2710" s="57"/>
      <c r="Q2710" s="57"/>
      <c r="R2710" s="57"/>
      <c r="S2710" s="57"/>
      <c r="T2710" s="57"/>
      <c r="U2710" s="57"/>
      <c r="V2710" s="57"/>
      <c r="W2710" s="57"/>
      <c r="X2710" s="57"/>
      <c r="Y2710" s="57"/>
      <c r="Z2710" s="57"/>
      <c r="AA2710" s="57"/>
      <c r="AB2710" s="57"/>
      <c r="AC2710" s="57"/>
      <c r="AD2710" s="57"/>
      <c r="AE2710" s="57"/>
      <c r="AF2710" s="57"/>
    </row>
    <row r="2711" spans="1:32" x14ac:dyDescent="0.2">
      <c r="A2711" s="57"/>
      <c r="B2711" s="57"/>
      <c r="C2711" s="57"/>
      <c r="D2711" s="57"/>
      <c r="E2711" s="57"/>
      <c r="F2711" s="985"/>
      <c r="G2711" s="57"/>
      <c r="H2711" s="57"/>
      <c r="I2711" s="990"/>
      <c r="J2711" s="57"/>
      <c r="K2711" s="57"/>
      <c r="L2711" s="57"/>
      <c r="M2711" s="57"/>
      <c r="N2711" s="57"/>
      <c r="O2711" s="57"/>
      <c r="P2711" s="57"/>
      <c r="Q2711" s="57"/>
      <c r="R2711" s="57"/>
      <c r="S2711" s="57"/>
      <c r="T2711" s="57"/>
      <c r="U2711" s="57"/>
      <c r="V2711" s="57"/>
      <c r="W2711" s="57"/>
      <c r="X2711" s="57"/>
      <c r="Y2711" s="57"/>
      <c r="Z2711" s="57"/>
      <c r="AA2711" s="57"/>
      <c r="AB2711" s="57"/>
      <c r="AC2711" s="57"/>
      <c r="AD2711" s="57"/>
      <c r="AE2711" s="57"/>
      <c r="AF2711" s="57"/>
    </row>
    <row r="2712" spans="1:32" x14ac:dyDescent="0.2">
      <c r="A2712" s="57"/>
      <c r="B2712" s="57"/>
      <c r="C2712" s="57"/>
      <c r="D2712" s="57"/>
      <c r="E2712" s="57"/>
      <c r="F2712" s="985"/>
      <c r="G2712" s="57"/>
      <c r="H2712" s="57"/>
      <c r="I2712" s="990"/>
      <c r="J2712" s="57"/>
      <c r="K2712" s="57"/>
      <c r="L2712" s="57"/>
      <c r="M2712" s="57"/>
      <c r="N2712" s="57"/>
      <c r="O2712" s="57"/>
      <c r="P2712" s="57"/>
      <c r="Q2712" s="57"/>
      <c r="R2712" s="57"/>
      <c r="S2712" s="57"/>
      <c r="T2712" s="57"/>
      <c r="U2712" s="57"/>
      <c r="V2712" s="57"/>
      <c r="W2712" s="57"/>
      <c r="X2712" s="57"/>
      <c r="Y2712" s="57"/>
      <c r="Z2712" s="57"/>
      <c r="AA2712" s="57"/>
      <c r="AB2712" s="57"/>
      <c r="AC2712" s="57"/>
      <c r="AD2712" s="57"/>
      <c r="AE2712" s="57"/>
      <c r="AF2712" s="57"/>
    </row>
    <row r="2713" spans="1:32" x14ac:dyDescent="0.2">
      <c r="A2713" s="57"/>
      <c r="B2713" s="57"/>
      <c r="C2713" s="57"/>
      <c r="D2713" s="57"/>
      <c r="E2713" s="57"/>
      <c r="F2713" s="985"/>
      <c r="G2713" s="57"/>
      <c r="H2713" s="57"/>
      <c r="I2713" s="990"/>
      <c r="J2713" s="57"/>
      <c r="K2713" s="57"/>
      <c r="L2713" s="57"/>
      <c r="M2713" s="57"/>
      <c r="N2713" s="57"/>
      <c r="O2713" s="57"/>
      <c r="P2713" s="57"/>
      <c r="Q2713" s="57"/>
      <c r="R2713" s="57"/>
      <c r="S2713" s="57"/>
      <c r="T2713" s="57"/>
      <c r="U2713" s="57"/>
      <c r="V2713" s="57"/>
      <c r="W2713" s="57"/>
      <c r="X2713" s="57"/>
      <c r="Y2713" s="57"/>
      <c r="Z2713" s="57"/>
      <c r="AA2713" s="57"/>
      <c r="AB2713" s="57"/>
      <c r="AC2713" s="57"/>
      <c r="AD2713" s="57"/>
      <c r="AE2713" s="57"/>
      <c r="AF2713" s="57"/>
    </row>
    <row r="2714" spans="1:32" x14ac:dyDescent="0.2">
      <c r="A2714" s="57"/>
      <c r="B2714" s="57"/>
      <c r="C2714" s="57"/>
      <c r="D2714" s="57"/>
      <c r="E2714" s="57"/>
      <c r="F2714" s="985"/>
      <c r="G2714" s="57"/>
      <c r="H2714" s="57"/>
      <c r="I2714" s="990"/>
      <c r="J2714" s="57"/>
      <c r="K2714" s="57"/>
      <c r="L2714" s="57"/>
      <c r="M2714" s="57"/>
      <c r="N2714" s="57"/>
      <c r="O2714" s="57"/>
      <c r="P2714" s="57"/>
      <c r="Q2714" s="57"/>
      <c r="R2714" s="57"/>
      <c r="S2714" s="57"/>
      <c r="T2714" s="57"/>
      <c r="U2714" s="57"/>
      <c r="V2714" s="57"/>
      <c r="W2714" s="57"/>
      <c r="X2714" s="57"/>
      <c r="Y2714" s="57"/>
      <c r="Z2714" s="57"/>
      <c r="AA2714" s="57"/>
      <c r="AB2714" s="57"/>
      <c r="AC2714" s="57"/>
      <c r="AD2714" s="57"/>
      <c r="AE2714" s="57"/>
      <c r="AF2714" s="57"/>
    </row>
    <row r="2715" spans="1:32" x14ac:dyDescent="0.2">
      <c r="A2715" s="57"/>
      <c r="B2715" s="57"/>
      <c r="C2715" s="57"/>
      <c r="D2715" s="57"/>
      <c r="E2715" s="57"/>
      <c r="F2715" s="985"/>
      <c r="G2715" s="57"/>
      <c r="H2715" s="57"/>
      <c r="I2715" s="990"/>
      <c r="J2715" s="57"/>
      <c r="K2715" s="57"/>
      <c r="L2715" s="57"/>
      <c r="M2715" s="57"/>
      <c r="N2715" s="57"/>
      <c r="O2715" s="57"/>
      <c r="P2715" s="57"/>
      <c r="Q2715" s="57"/>
      <c r="R2715" s="57"/>
      <c r="S2715" s="57"/>
      <c r="T2715" s="57"/>
      <c r="U2715" s="57"/>
      <c r="V2715" s="57"/>
      <c r="W2715" s="57"/>
      <c r="X2715" s="57"/>
      <c r="Y2715" s="57"/>
      <c r="Z2715" s="57"/>
      <c r="AA2715" s="57"/>
      <c r="AB2715" s="57"/>
      <c r="AC2715" s="57"/>
      <c r="AD2715" s="57"/>
      <c r="AE2715" s="57"/>
      <c r="AF2715" s="57"/>
    </row>
    <row r="2716" spans="1:32" x14ac:dyDescent="0.2">
      <c r="A2716" s="57"/>
      <c r="B2716" s="57"/>
      <c r="C2716" s="57"/>
      <c r="D2716" s="57"/>
      <c r="E2716" s="57"/>
      <c r="F2716" s="985"/>
      <c r="G2716" s="57"/>
      <c r="H2716" s="57"/>
      <c r="I2716" s="990"/>
      <c r="J2716" s="57"/>
      <c r="K2716" s="57"/>
      <c r="L2716" s="57"/>
      <c r="M2716" s="57"/>
      <c r="N2716" s="57"/>
      <c r="O2716" s="57"/>
      <c r="P2716" s="57"/>
      <c r="Q2716" s="57"/>
      <c r="R2716" s="57"/>
      <c r="S2716" s="57"/>
      <c r="T2716" s="57"/>
      <c r="U2716" s="57"/>
      <c r="V2716" s="57"/>
      <c r="W2716" s="57"/>
      <c r="X2716" s="57"/>
      <c r="Y2716" s="57"/>
      <c r="Z2716" s="57"/>
      <c r="AA2716" s="57"/>
      <c r="AB2716" s="57"/>
      <c r="AC2716" s="57"/>
      <c r="AD2716" s="57"/>
      <c r="AE2716" s="57"/>
      <c r="AF2716" s="57"/>
    </row>
    <row r="2717" spans="1:32" x14ac:dyDescent="0.2">
      <c r="A2717" s="57"/>
      <c r="B2717" s="57"/>
      <c r="C2717" s="57"/>
      <c r="D2717" s="57"/>
      <c r="E2717" s="57"/>
      <c r="F2717" s="985"/>
      <c r="G2717" s="57"/>
      <c r="H2717" s="57"/>
      <c r="I2717" s="990"/>
      <c r="J2717" s="57"/>
      <c r="K2717" s="57"/>
      <c r="L2717" s="57"/>
      <c r="M2717" s="57"/>
      <c r="N2717" s="57"/>
      <c r="O2717" s="57"/>
      <c r="P2717" s="57"/>
      <c r="Q2717" s="57"/>
      <c r="R2717" s="57"/>
      <c r="S2717" s="57"/>
      <c r="T2717" s="57"/>
      <c r="U2717" s="57"/>
      <c r="V2717" s="57"/>
      <c r="W2717" s="57"/>
      <c r="X2717" s="57"/>
      <c r="Y2717" s="57"/>
      <c r="Z2717" s="57"/>
      <c r="AA2717" s="57"/>
      <c r="AB2717" s="57"/>
      <c r="AC2717" s="57"/>
      <c r="AD2717" s="57"/>
      <c r="AE2717" s="57"/>
      <c r="AF2717" s="57"/>
    </row>
    <row r="2718" spans="1:32" x14ac:dyDescent="0.2">
      <c r="A2718" s="57"/>
      <c r="B2718" s="57"/>
      <c r="C2718" s="57"/>
      <c r="D2718" s="57"/>
      <c r="E2718" s="57"/>
      <c r="F2718" s="985"/>
      <c r="G2718" s="57"/>
      <c r="H2718" s="57"/>
      <c r="I2718" s="990"/>
      <c r="J2718" s="57"/>
      <c r="K2718" s="57"/>
      <c r="L2718" s="57"/>
      <c r="M2718" s="57"/>
      <c r="N2718" s="57"/>
      <c r="O2718" s="57"/>
      <c r="P2718" s="57"/>
      <c r="Q2718" s="57"/>
      <c r="R2718" s="57"/>
      <c r="S2718" s="57"/>
      <c r="T2718" s="57"/>
      <c r="U2718" s="57"/>
      <c r="V2718" s="57"/>
      <c r="W2718" s="57"/>
      <c r="X2718" s="57"/>
      <c r="Y2718" s="57"/>
      <c r="Z2718" s="57"/>
      <c r="AA2718" s="57"/>
      <c r="AB2718" s="57"/>
      <c r="AC2718" s="57"/>
      <c r="AD2718" s="57"/>
      <c r="AE2718" s="57"/>
      <c r="AF2718" s="57"/>
    </row>
    <row r="2719" spans="1:32" x14ac:dyDescent="0.2">
      <c r="A2719" s="57"/>
      <c r="B2719" s="57"/>
      <c r="C2719" s="57"/>
      <c r="D2719" s="57"/>
      <c r="E2719" s="57"/>
      <c r="F2719" s="985"/>
      <c r="G2719" s="57"/>
      <c r="H2719" s="57"/>
      <c r="I2719" s="990"/>
      <c r="J2719" s="57"/>
      <c r="K2719" s="57"/>
      <c r="L2719" s="57"/>
      <c r="M2719" s="57"/>
      <c r="N2719" s="57"/>
      <c r="O2719" s="57"/>
      <c r="P2719" s="57"/>
      <c r="Q2719" s="57"/>
      <c r="R2719" s="57"/>
      <c r="S2719" s="57"/>
      <c r="T2719" s="57"/>
      <c r="U2719" s="57"/>
      <c r="V2719" s="57"/>
      <c r="W2719" s="57"/>
      <c r="X2719" s="57"/>
      <c r="Y2719" s="57"/>
      <c r="Z2719" s="57"/>
      <c r="AA2719" s="57"/>
      <c r="AB2719" s="57"/>
      <c r="AC2719" s="57"/>
      <c r="AD2719" s="57"/>
      <c r="AE2719" s="57"/>
      <c r="AF2719" s="57"/>
    </row>
    <row r="2720" spans="1:32" x14ac:dyDescent="0.2">
      <c r="A2720" s="57"/>
      <c r="B2720" s="57"/>
      <c r="C2720" s="57"/>
      <c r="D2720" s="57"/>
      <c r="E2720" s="57"/>
      <c r="F2720" s="985"/>
      <c r="G2720" s="57"/>
      <c r="H2720" s="57"/>
      <c r="I2720" s="990"/>
      <c r="J2720" s="57"/>
      <c r="K2720" s="57"/>
      <c r="L2720" s="57"/>
      <c r="M2720" s="57"/>
      <c r="N2720" s="57"/>
      <c r="O2720" s="57"/>
      <c r="P2720" s="57"/>
      <c r="Q2720" s="57"/>
      <c r="R2720" s="57"/>
      <c r="S2720" s="57"/>
      <c r="T2720" s="57"/>
      <c r="U2720" s="57"/>
      <c r="V2720" s="57"/>
      <c r="W2720" s="57"/>
      <c r="X2720" s="57"/>
      <c r="Y2720" s="57"/>
      <c r="Z2720" s="57"/>
      <c r="AA2720" s="57"/>
      <c r="AB2720" s="57"/>
      <c r="AC2720" s="57"/>
      <c r="AD2720" s="57"/>
      <c r="AE2720" s="57"/>
      <c r="AF2720" s="57"/>
    </row>
    <row r="2721" spans="1:32" x14ac:dyDescent="0.2">
      <c r="A2721" s="57"/>
      <c r="B2721" s="57"/>
      <c r="C2721" s="57"/>
      <c r="D2721" s="57"/>
      <c r="E2721" s="57"/>
      <c r="F2721" s="985"/>
      <c r="G2721" s="57"/>
      <c r="H2721" s="57"/>
      <c r="I2721" s="990"/>
      <c r="J2721" s="57"/>
      <c r="K2721" s="57"/>
      <c r="L2721" s="57"/>
      <c r="M2721" s="57"/>
      <c r="N2721" s="57"/>
      <c r="O2721" s="57"/>
      <c r="P2721" s="57"/>
      <c r="Q2721" s="57"/>
      <c r="R2721" s="57"/>
      <c r="S2721" s="57"/>
      <c r="T2721" s="57"/>
      <c r="U2721" s="57"/>
      <c r="V2721" s="57"/>
      <c r="W2721" s="57"/>
      <c r="X2721" s="57"/>
      <c r="Y2721" s="57"/>
      <c r="Z2721" s="57"/>
      <c r="AA2721" s="57"/>
      <c r="AB2721" s="57"/>
      <c r="AC2721" s="57"/>
      <c r="AD2721" s="57"/>
      <c r="AE2721" s="57"/>
      <c r="AF2721" s="57"/>
    </row>
    <row r="2722" spans="1:32" x14ac:dyDescent="0.2">
      <c r="A2722" s="57"/>
      <c r="B2722" s="57"/>
      <c r="C2722" s="57"/>
      <c r="D2722" s="57"/>
      <c r="E2722" s="57"/>
      <c r="F2722" s="985"/>
      <c r="G2722" s="57"/>
      <c r="H2722" s="57"/>
      <c r="I2722" s="990"/>
      <c r="J2722" s="57"/>
      <c r="K2722" s="57"/>
      <c r="L2722" s="57"/>
      <c r="M2722" s="57"/>
      <c r="N2722" s="57"/>
      <c r="O2722" s="57"/>
      <c r="P2722" s="57"/>
      <c r="Q2722" s="57"/>
      <c r="R2722" s="57"/>
      <c r="S2722" s="57"/>
      <c r="T2722" s="57"/>
      <c r="U2722" s="57"/>
      <c r="V2722" s="57"/>
      <c r="W2722" s="57"/>
      <c r="X2722" s="57"/>
      <c r="Y2722" s="57"/>
      <c r="Z2722" s="57"/>
      <c r="AA2722" s="57"/>
      <c r="AB2722" s="57"/>
      <c r="AC2722" s="57"/>
      <c r="AD2722" s="57"/>
      <c r="AE2722" s="57"/>
      <c r="AF2722" s="57"/>
    </row>
    <row r="2723" spans="1:32" x14ac:dyDescent="0.2">
      <c r="A2723" s="57"/>
      <c r="B2723" s="57"/>
      <c r="C2723" s="57"/>
      <c r="D2723" s="57"/>
      <c r="E2723" s="57"/>
      <c r="F2723" s="985"/>
      <c r="G2723" s="57"/>
      <c r="H2723" s="57"/>
      <c r="I2723" s="990"/>
      <c r="J2723" s="57"/>
      <c r="K2723" s="57"/>
      <c r="L2723" s="57"/>
      <c r="M2723" s="57"/>
      <c r="N2723" s="57"/>
      <c r="O2723" s="57"/>
      <c r="P2723" s="57"/>
      <c r="Q2723" s="57"/>
      <c r="R2723" s="57"/>
      <c r="S2723" s="57"/>
      <c r="T2723" s="57"/>
      <c r="U2723" s="57"/>
      <c r="V2723" s="57"/>
      <c r="W2723" s="57"/>
      <c r="X2723" s="57"/>
      <c r="Y2723" s="57"/>
      <c r="Z2723" s="57"/>
      <c r="AA2723" s="57"/>
      <c r="AB2723" s="57"/>
      <c r="AC2723" s="57"/>
      <c r="AD2723" s="57"/>
      <c r="AE2723" s="57"/>
      <c r="AF2723" s="57"/>
    </row>
    <row r="2724" spans="1:32" x14ac:dyDescent="0.2">
      <c r="A2724" s="57"/>
      <c r="B2724" s="57"/>
      <c r="C2724" s="57"/>
      <c r="D2724" s="57"/>
      <c r="E2724" s="57"/>
      <c r="F2724" s="985"/>
      <c r="G2724" s="57"/>
      <c r="H2724" s="57"/>
      <c r="I2724" s="990"/>
      <c r="J2724" s="57"/>
      <c r="K2724" s="57"/>
      <c r="L2724" s="57"/>
      <c r="M2724" s="57"/>
      <c r="N2724" s="57"/>
      <c r="O2724" s="57"/>
      <c r="P2724" s="57"/>
      <c r="Q2724" s="57"/>
      <c r="R2724" s="57"/>
      <c r="S2724" s="57"/>
      <c r="T2724" s="57"/>
      <c r="U2724" s="57"/>
      <c r="V2724" s="57"/>
      <c r="W2724" s="57"/>
      <c r="X2724" s="57"/>
      <c r="Y2724" s="57"/>
      <c r="Z2724" s="57"/>
      <c r="AA2724" s="57"/>
      <c r="AB2724" s="57"/>
      <c r="AC2724" s="57"/>
      <c r="AD2724" s="57"/>
      <c r="AE2724" s="57"/>
      <c r="AF2724" s="57"/>
    </row>
    <row r="2725" spans="1:32" x14ac:dyDescent="0.2">
      <c r="A2725" s="57"/>
      <c r="B2725" s="57"/>
      <c r="C2725" s="57"/>
      <c r="D2725" s="57"/>
      <c r="E2725" s="57"/>
      <c r="F2725" s="985"/>
      <c r="G2725" s="57"/>
      <c r="H2725" s="57"/>
      <c r="I2725" s="990"/>
      <c r="J2725" s="57"/>
      <c r="K2725" s="57"/>
      <c r="L2725" s="57"/>
      <c r="M2725" s="57"/>
      <c r="N2725" s="57"/>
      <c r="O2725" s="57"/>
      <c r="P2725" s="57"/>
      <c r="Q2725" s="57"/>
      <c r="R2725" s="57"/>
      <c r="S2725" s="57"/>
      <c r="T2725" s="57"/>
      <c r="U2725" s="57"/>
      <c r="V2725" s="57"/>
      <c r="W2725" s="57"/>
      <c r="X2725" s="57"/>
      <c r="Y2725" s="57"/>
      <c r="Z2725" s="57"/>
      <c r="AA2725" s="57"/>
      <c r="AB2725" s="57"/>
      <c r="AC2725" s="57"/>
      <c r="AD2725" s="57"/>
      <c r="AE2725" s="57"/>
      <c r="AF2725" s="57"/>
    </row>
    <row r="2726" spans="1:32" x14ac:dyDescent="0.2">
      <c r="A2726" s="57"/>
      <c r="B2726" s="57"/>
      <c r="C2726" s="57"/>
      <c r="D2726" s="57"/>
      <c r="E2726" s="57"/>
      <c r="F2726" s="985"/>
      <c r="G2726" s="57"/>
      <c r="H2726" s="57"/>
      <c r="I2726" s="990"/>
      <c r="J2726" s="57"/>
      <c r="K2726" s="57"/>
      <c r="L2726" s="57"/>
      <c r="M2726" s="57"/>
      <c r="N2726" s="57"/>
      <c r="O2726" s="57"/>
      <c r="P2726" s="57"/>
      <c r="Q2726" s="57"/>
      <c r="R2726" s="57"/>
      <c r="S2726" s="57"/>
      <c r="T2726" s="57"/>
      <c r="U2726" s="57"/>
      <c r="V2726" s="57"/>
      <c r="W2726" s="57"/>
      <c r="X2726" s="57"/>
      <c r="Y2726" s="57"/>
      <c r="Z2726" s="57"/>
      <c r="AA2726" s="57"/>
      <c r="AB2726" s="57"/>
      <c r="AC2726" s="57"/>
      <c r="AD2726" s="57"/>
      <c r="AE2726" s="57"/>
      <c r="AF2726" s="57"/>
    </row>
    <row r="2727" spans="1:32" x14ac:dyDescent="0.2">
      <c r="A2727" s="57"/>
      <c r="B2727" s="57"/>
      <c r="C2727" s="57"/>
      <c r="D2727" s="57"/>
      <c r="E2727" s="57"/>
      <c r="F2727" s="985"/>
      <c r="G2727" s="57"/>
      <c r="H2727" s="57"/>
      <c r="I2727" s="990"/>
      <c r="J2727" s="57"/>
      <c r="K2727" s="57"/>
      <c r="L2727" s="57"/>
      <c r="M2727" s="57"/>
      <c r="N2727" s="57"/>
      <c r="O2727" s="57"/>
      <c r="P2727" s="57"/>
      <c r="Q2727" s="57"/>
      <c r="R2727" s="57"/>
      <c r="S2727" s="57"/>
      <c r="T2727" s="57"/>
      <c r="U2727" s="57"/>
      <c r="V2727" s="57"/>
      <c r="W2727" s="57"/>
      <c r="X2727" s="57"/>
      <c r="Y2727" s="57"/>
      <c r="Z2727" s="57"/>
      <c r="AA2727" s="57"/>
      <c r="AB2727" s="57"/>
      <c r="AC2727" s="57"/>
      <c r="AD2727" s="57"/>
      <c r="AE2727" s="57"/>
      <c r="AF2727" s="57"/>
    </row>
    <row r="2728" spans="1:32" x14ac:dyDescent="0.2">
      <c r="A2728" s="57"/>
      <c r="B2728" s="57"/>
      <c r="C2728" s="57"/>
      <c r="D2728" s="57"/>
      <c r="E2728" s="57"/>
      <c r="F2728" s="985"/>
      <c r="G2728" s="57"/>
      <c r="H2728" s="57"/>
      <c r="I2728" s="990"/>
      <c r="J2728" s="57"/>
      <c r="K2728" s="57"/>
      <c r="L2728" s="57"/>
      <c r="M2728" s="57"/>
      <c r="N2728" s="57"/>
      <c r="O2728" s="57"/>
      <c r="P2728" s="57"/>
      <c r="Q2728" s="57"/>
      <c r="R2728" s="57"/>
      <c r="S2728" s="57"/>
      <c r="T2728" s="57"/>
      <c r="U2728" s="57"/>
      <c r="V2728" s="57"/>
      <c r="W2728" s="57"/>
      <c r="X2728" s="57"/>
      <c r="Y2728" s="57"/>
      <c r="Z2728" s="57"/>
      <c r="AA2728" s="57"/>
      <c r="AB2728" s="57"/>
      <c r="AC2728" s="57"/>
      <c r="AD2728" s="57"/>
      <c r="AE2728" s="57"/>
      <c r="AF2728" s="57"/>
    </row>
    <row r="2729" spans="1:32" x14ac:dyDescent="0.2">
      <c r="A2729" s="57"/>
      <c r="B2729" s="57"/>
      <c r="C2729" s="57"/>
      <c r="D2729" s="57"/>
      <c r="E2729" s="57"/>
      <c r="F2729" s="985"/>
      <c r="G2729" s="57"/>
      <c r="H2729" s="57"/>
      <c r="I2729" s="990"/>
      <c r="J2729" s="57"/>
      <c r="K2729" s="57"/>
      <c r="L2729" s="57"/>
      <c r="M2729" s="57"/>
      <c r="N2729" s="57"/>
      <c r="O2729" s="57"/>
      <c r="P2729" s="57"/>
      <c r="Q2729" s="57"/>
      <c r="R2729" s="57"/>
      <c r="S2729" s="57"/>
      <c r="T2729" s="57"/>
      <c r="U2729" s="57"/>
      <c r="V2729" s="57"/>
      <c r="W2729" s="57"/>
      <c r="X2729" s="57"/>
      <c r="Y2729" s="57"/>
      <c r="Z2729" s="57"/>
      <c r="AA2729" s="57"/>
      <c r="AB2729" s="57"/>
      <c r="AC2729" s="57"/>
      <c r="AD2729" s="57"/>
      <c r="AE2729" s="57"/>
      <c r="AF2729" s="57"/>
    </row>
    <row r="2730" spans="1:32" x14ac:dyDescent="0.2">
      <c r="A2730" s="57"/>
      <c r="B2730" s="57"/>
      <c r="C2730" s="57"/>
      <c r="D2730" s="57"/>
      <c r="E2730" s="57"/>
      <c r="F2730" s="985"/>
      <c r="G2730" s="57"/>
      <c r="H2730" s="57"/>
      <c r="I2730" s="990"/>
      <c r="J2730" s="57"/>
      <c r="K2730" s="57"/>
      <c r="L2730" s="57"/>
      <c r="M2730" s="57"/>
      <c r="N2730" s="57"/>
      <c r="O2730" s="57"/>
      <c r="P2730" s="57"/>
      <c r="Q2730" s="57"/>
      <c r="R2730" s="57"/>
      <c r="S2730" s="57"/>
      <c r="T2730" s="57"/>
      <c r="U2730" s="57"/>
      <c r="V2730" s="57"/>
      <c r="W2730" s="57"/>
      <c r="X2730" s="57"/>
      <c r="Y2730" s="57"/>
      <c r="Z2730" s="57"/>
      <c r="AA2730" s="57"/>
      <c r="AB2730" s="57"/>
      <c r="AC2730" s="57"/>
      <c r="AD2730" s="57"/>
      <c r="AE2730" s="57"/>
      <c r="AF2730" s="57"/>
    </row>
    <row r="2731" spans="1:32" x14ac:dyDescent="0.2">
      <c r="A2731" s="57"/>
      <c r="B2731" s="57"/>
      <c r="C2731" s="57"/>
      <c r="D2731" s="57"/>
      <c r="E2731" s="57"/>
      <c r="F2731" s="985"/>
      <c r="G2731" s="57"/>
      <c r="H2731" s="57"/>
      <c r="I2731" s="990"/>
      <c r="J2731" s="57"/>
      <c r="K2731" s="57"/>
      <c r="L2731" s="57"/>
      <c r="M2731" s="57"/>
      <c r="N2731" s="57"/>
      <c r="O2731" s="57"/>
      <c r="P2731" s="57"/>
      <c r="Q2731" s="57"/>
      <c r="R2731" s="57"/>
      <c r="S2731" s="57"/>
      <c r="T2731" s="57"/>
      <c r="U2731" s="57"/>
      <c r="V2731" s="57"/>
      <c r="W2731" s="57"/>
      <c r="X2731" s="57"/>
      <c r="Y2731" s="57"/>
      <c r="Z2731" s="57"/>
      <c r="AA2731" s="57"/>
      <c r="AB2731" s="57"/>
      <c r="AC2731" s="57"/>
      <c r="AD2731" s="57"/>
      <c r="AE2731" s="57"/>
      <c r="AF2731" s="57"/>
    </row>
    <row r="2732" spans="1:32" x14ac:dyDescent="0.2">
      <c r="A2732" s="57"/>
      <c r="B2732" s="57"/>
      <c r="C2732" s="57"/>
      <c r="D2732" s="57"/>
      <c r="E2732" s="57"/>
      <c r="F2732" s="985"/>
      <c r="G2732" s="57"/>
      <c r="H2732" s="57"/>
      <c r="I2732" s="990"/>
      <c r="J2732" s="57"/>
      <c r="K2732" s="57"/>
      <c r="L2732" s="57"/>
      <c r="M2732" s="57"/>
      <c r="N2732" s="57"/>
      <c r="O2732" s="57"/>
      <c r="P2732" s="57"/>
      <c r="Q2732" s="57"/>
      <c r="R2732" s="57"/>
      <c r="S2732" s="57"/>
      <c r="T2732" s="57"/>
      <c r="U2732" s="57"/>
      <c r="V2732" s="57"/>
      <c r="W2732" s="57"/>
      <c r="X2732" s="57"/>
      <c r="Y2732" s="57"/>
      <c r="Z2732" s="57"/>
      <c r="AA2732" s="57"/>
      <c r="AB2732" s="57"/>
      <c r="AC2732" s="57"/>
      <c r="AD2732" s="57"/>
      <c r="AE2732" s="57"/>
      <c r="AF2732" s="57"/>
    </row>
    <row r="2733" spans="1:32" x14ac:dyDescent="0.2">
      <c r="A2733" s="57"/>
      <c r="B2733" s="57"/>
      <c r="C2733" s="57"/>
      <c r="D2733" s="57"/>
      <c r="E2733" s="57"/>
      <c r="F2733" s="985"/>
      <c r="G2733" s="57"/>
      <c r="H2733" s="57"/>
      <c r="I2733" s="990"/>
      <c r="J2733" s="57"/>
      <c r="K2733" s="57"/>
      <c r="L2733" s="57"/>
      <c r="M2733" s="57"/>
      <c r="N2733" s="57"/>
      <c r="O2733" s="57"/>
      <c r="P2733" s="57"/>
      <c r="Q2733" s="57"/>
      <c r="R2733" s="57"/>
      <c r="S2733" s="57"/>
      <c r="T2733" s="57"/>
      <c r="U2733" s="57"/>
      <c r="V2733" s="57"/>
      <c r="W2733" s="57"/>
      <c r="X2733" s="57"/>
      <c r="Y2733" s="57"/>
      <c r="Z2733" s="57"/>
      <c r="AA2733" s="57"/>
      <c r="AB2733" s="57"/>
      <c r="AC2733" s="57"/>
      <c r="AD2733" s="57"/>
      <c r="AE2733" s="57"/>
      <c r="AF2733" s="57"/>
    </row>
    <row r="2734" spans="1:32" x14ac:dyDescent="0.2">
      <c r="A2734" s="57"/>
      <c r="B2734" s="57"/>
      <c r="C2734" s="57"/>
      <c r="D2734" s="57"/>
      <c r="E2734" s="57"/>
      <c r="F2734" s="985"/>
      <c r="G2734" s="57"/>
      <c r="H2734" s="57"/>
      <c r="I2734" s="990"/>
      <c r="J2734" s="57"/>
      <c r="K2734" s="57"/>
      <c r="L2734" s="57"/>
      <c r="M2734" s="57"/>
      <c r="N2734" s="57"/>
      <c r="O2734" s="57"/>
      <c r="P2734" s="57"/>
      <c r="Q2734" s="57"/>
      <c r="R2734" s="57"/>
      <c r="S2734" s="57"/>
      <c r="T2734" s="57"/>
      <c r="U2734" s="57"/>
      <c r="V2734" s="57"/>
      <c r="W2734" s="57"/>
      <c r="X2734" s="57"/>
      <c r="Y2734" s="57"/>
      <c r="Z2734" s="57"/>
      <c r="AA2734" s="57"/>
      <c r="AB2734" s="57"/>
      <c r="AC2734" s="57"/>
      <c r="AD2734" s="57"/>
      <c r="AE2734" s="57"/>
      <c r="AF2734" s="57"/>
    </row>
    <row r="2735" spans="1:32" x14ac:dyDescent="0.2">
      <c r="A2735" s="57"/>
      <c r="B2735" s="57"/>
      <c r="C2735" s="57"/>
      <c r="D2735" s="57"/>
      <c r="E2735" s="57"/>
      <c r="F2735" s="985"/>
      <c r="G2735" s="57"/>
      <c r="H2735" s="57"/>
      <c r="I2735" s="990"/>
      <c r="J2735" s="57"/>
      <c r="K2735" s="57"/>
      <c r="L2735" s="57"/>
      <c r="M2735" s="57"/>
      <c r="N2735" s="57"/>
      <c r="O2735" s="57"/>
      <c r="P2735" s="57"/>
      <c r="Q2735" s="57"/>
      <c r="R2735" s="57"/>
      <c r="S2735" s="57"/>
      <c r="T2735" s="57"/>
      <c r="U2735" s="57"/>
      <c r="V2735" s="57"/>
      <c r="W2735" s="57"/>
      <c r="X2735" s="57"/>
      <c r="Y2735" s="57"/>
      <c r="Z2735" s="57"/>
      <c r="AA2735" s="57"/>
      <c r="AB2735" s="57"/>
      <c r="AC2735" s="57"/>
      <c r="AD2735" s="57"/>
      <c r="AE2735" s="57"/>
      <c r="AF2735" s="57"/>
    </row>
    <row r="2736" spans="1:32" x14ac:dyDescent="0.2">
      <c r="A2736" s="57"/>
      <c r="B2736" s="57"/>
      <c r="C2736" s="57"/>
      <c r="D2736" s="57"/>
      <c r="E2736" s="57"/>
      <c r="F2736" s="985"/>
      <c r="G2736" s="57"/>
      <c r="H2736" s="57"/>
      <c r="I2736" s="990"/>
      <c r="J2736" s="57"/>
      <c r="K2736" s="57"/>
      <c r="L2736" s="57"/>
      <c r="M2736" s="57"/>
      <c r="N2736" s="57"/>
      <c r="O2736" s="57"/>
      <c r="P2736" s="57"/>
      <c r="Q2736" s="57"/>
      <c r="R2736" s="57"/>
      <c r="S2736" s="57"/>
      <c r="T2736" s="57"/>
      <c r="U2736" s="57"/>
      <c r="V2736" s="57"/>
      <c r="W2736" s="57"/>
      <c r="X2736" s="57"/>
      <c r="Y2736" s="57"/>
      <c r="Z2736" s="57"/>
      <c r="AA2736" s="57"/>
      <c r="AB2736" s="57"/>
      <c r="AC2736" s="57"/>
      <c r="AD2736" s="57"/>
      <c r="AE2736" s="57"/>
      <c r="AF2736" s="57"/>
    </row>
    <row r="2737" spans="1:32" x14ac:dyDescent="0.2">
      <c r="A2737" s="57"/>
      <c r="B2737" s="57"/>
      <c r="C2737" s="57"/>
      <c r="D2737" s="57"/>
      <c r="E2737" s="57"/>
      <c r="F2737" s="985"/>
      <c r="G2737" s="57"/>
      <c r="H2737" s="57"/>
      <c r="I2737" s="990"/>
      <c r="J2737" s="57"/>
      <c r="K2737" s="57"/>
      <c r="L2737" s="57"/>
      <c r="M2737" s="57"/>
      <c r="N2737" s="57"/>
      <c r="O2737" s="57"/>
      <c r="P2737" s="57"/>
      <c r="Q2737" s="57"/>
      <c r="R2737" s="57"/>
      <c r="S2737" s="57"/>
      <c r="T2737" s="57"/>
      <c r="U2737" s="57"/>
      <c r="V2737" s="57"/>
      <c r="W2737" s="57"/>
      <c r="X2737" s="57"/>
      <c r="Y2737" s="57"/>
      <c r="Z2737" s="57"/>
      <c r="AA2737" s="57"/>
      <c r="AB2737" s="57"/>
      <c r="AC2737" s="57"/>
      <c r="AD2737" s="57"/>
      <c r="AE2737" s="57"/>
      <c r="AF2737" s="57"/>
    </row>
    <row r="2738" spans="1:32" x14ac:dyDescent="0.2">
      <c r="A2738" s="57"/>
      <c r="B2738" s="57"/>
      <c r="C2738" s="57"/>
      <c r="D2738" s="57"/>
      <c r="E2738" s="57"/>
      <c r="F2738" s="985"/>
      <c r="G2738" s="57"/>
      <c r="H2738" s="57"/>
      <c r="I2738" s="990"/>
      <c r="J2738" s="57"/>
      <c r="K2738" s="57"/>
      <c r="L2738" s="57"/>
      <c r="M2738" s="57"/>
      <c r="N2738" s="57"/>
      <c r="O2738" s="57"/>
      <c r="P2738" s="57"/>
      <c r="Q2738" s="57"/>
      <c r="R2738" s="57"/>
      <c r="S2738" s="57"/>
      <c r="T2738" s="57"/>
      <c r="U2738" s="57"/>
      <c r="V2738" s="57"/>
      <c r="W2738" s="57"/>
      <c r="X2738" s="57"/>
      <c r="Y2738" s="57"/>
      <c r="Z2738" s="57"/>
      <c r="AA2738" s="57"/>
      <c r="AB2738" s="57"/>
      <c r="AC2738" s="57"/>
      <c r="AD2738" s="57"/>
      <c r="AE2738" s="57"/>
      <c r="AF2738" s="57"/>
    </row>
    <row r="2739" spans="1:32" x14ac:dyDescent="0.2">
      <c r="A2739" s="57"/>
      <c r="B2739" s="57"/>
      <c r="C2739" s="57"/>
      <c r="D2739" s="57"/>
      <c r="E2739" s="57"/>
      <c r="F2739" s="985"/>
      <c r="G2739" s="57"/>
      <c r="H2739" s="57"/>
      <c r="I2739" s="990"/>
      <c r="J2739" s="57"/>
      <c r="K2739" s="57"/>
      <c r="L2739" s="57"/>
      <c r="M2739" s="57"/>
      <c r="N2739" s="57"/>
      <c r="O2739" s="57"/>
      <c r="P2739" s="57"/>
      <c r="Q2739" s="57"/>
      <c r="R2739" s="57"/>
      <c r="S2739" s="57"/>
      <c r="T2739" s="57"/>
      <c r="U2739" s="57"/>
      <c r="V2739" s="57"/>
      <c r="W2739" s="57"/>
      <c r="X2739" s="57"/>
      <c r="Y2739" s="57"/>
      <c r="Z2739" s="57"/>
      <c r="AA2739" s="57"/>
      <c r="AB2739" s="57"/>
      <c r="AC2739" s="57"/>
      <c r="AD2739" s="57"/>
      <c r="AE2739" s="57"/>
      <c r="AF2739" s="57"/>
    </row>
    <row r="2740" spans="1:32" x14ac:dyDescent="0.2">
      <c r="A2740" s="57"/>
      <c r="B2740" s="57"/>
      <c r="C2740" s="57"/>
      <c r="D2740" s="57"/>
      <c r="E2740" s="57"/>
      <c r="F2740" s="985"/>
      <c r="G2740" s="57"/>
      <c r="H2740" s="57"/>
      <c r="I2740" s="990"/>
      <c r="J2740" s="57"/>
      <c r="K2740" s="57"/>
      <c r="L2740" s="57"/>
      <c r="M2740" s="57"/>
      <c r="N2740" s="57"/>
      <c r="O2740" s="57"/>
      <c r="P2740" s="57"/>
      <c r="Q2740" s="57"/>
      <c r="R2740" s="57"/>
      <c r="S2740" s="57"/>
      <c r="T2740" s="57"/>
      <c r="U2740" s="57"/>
      <c r="V2740" s="57"/>
      <c r="W2740" s="57"/>
      <c r="X2740" s="57"/>
      <c r="Y2740" s="57"/>
      <c r="Z2740" s="57"/>
      <c r="AA2740" s="57"/>
      <c r="AB2740" s="57"/>
      <c r="AC2740" s="57"/>
      <c r="AD2740" s="57"/>
      <c r="AE2740" s="57"/>
      <c r="AF2740" s="57"/>
    </row>
    <row r="2741" spans="1:32" x14ac:dyDescent="0.2">
      <c r="A2741" s="57"/>
      <c r="B2741" s="57"/>
      <c r="C2741" s="57"/>
      <c r="D2741" s="57"/>
      <c r="E2741" s="57"/>
      <c r="F2741" s="985"/>
      <c r="G2741" s="57"/>
      <c r="H2741" s="57"/>
      <c r="I2741" s="990"/>
      <c r="J2741" s="57"/>
      <c r="K2741" s="57"/>
      <c r="L2741" s="57"/>
      <c r="M2741" s="57"/>
      <c r="N2741" s="57"/>
      <c r="O2741" s="57"/>
      <c r="P2741" s="57"/>
      <c r="Q2741" s="57"/>
      <c r="R2741" s="57"/>
      <c r="S2741" s="57"/>
      <c r="T2741" s="57"/>
      <c r="U2741" s="57"/>
      <c r="V2741" s="57"/>
      <c r="W2741" s="57"/>
      <c r="X2741" s="57"/>
      <c r="Y2741" s="57"/>
      <c r="Z2741" s="57"/>
      <c r="AA2741" s="57"/>
      <c r="AB2741" s="57"/>
      <c r="AC2741" s="57"/>
      <c r="AD2741" s="57"/>
      <c r="AE2741" s="57"/>
      <c r="AF2741" s="57"/>
    </row>
    <row r="2742" spans="1:32" x14ac:dyDescent="0.2">
      <c r="A2742" s="57"/>
      <c r="B2742" s="57"/>
      <c r="C2742" s="57"/>
      <c r="D2742" s="57"/>
      <c r="E2742" s="57"/>
      <c r="F2742" s="985"/>
      <c r="G2742" s="57"/>
      <c r="H2742" s="57"/>
      <c r="I2742" s="990"/>
      <c r="J2742" s="57"/>
      <c r="K2742" s="57"/>
      <c r="L2742" s="57"/>
      <c r="M2742" s="57"/>
      <c r="N2742" s="57"/>
      <c r="O2742" s="57"/>
      <c r="P2742" s="57"/>
      <c r="Q2742" s="57"/>
      <c r="R2742" s="57"/>
      <c r="S2742" s="57"/>
      <c r="T2742" s="57"/>
      <c r="U2742" s="57"/>
      <c r="V2742" s="57"/>
      <c r="W2742" s="57"/>
      <c r="X2742" s="57"/>
      <c r="Y2742" s="57"/>
      <c r="Z2742" s="57"/>
      <c r="AA2742" s="57"/>
      <c r="AB2742" s="57"/>
      <c r="AC2742" s="57"/>
      <c r="AD2742" s="57"/>
      <c r="AE2742" s="57"/>
      <c r="AF2742" s="57"/>
    </row>
    <row r="2743" spans="1:32" x14ac:dyDescent="0.2">
      <c r="A2743" s="57"/>
      <c r="B2743" s="57"/>
      <c r="C2743" s="57"/>
      <c r="D2743" s="57"/>
      <c r="E2743" s="57"/>
      <c r="F2743" s="985"/>
      <c r="G2743" s="57"/>
      <c r="H2743" s="57"/>
      <c r="I2743" s="990"/>
      <c r="J2743" s="57"/>
      <c r="K2743" s="57"/>
      <c r="L2743" s="57"/>
      <c r="M2743" s="57"/>
      <c r="N2743" s="57"/>
      <c r="O2743" s="57"/>
      <c r="P2743" s="57"/>
      <c r="Q2743" s="57"/>
      <c r="R2743" s="57"/>
      <c r="S2743" s="57"/>
      <c r="T2743" s="57"/>
      <c r="U2743" s="57"/>
      <c r="V2743" s="57"/>
      <c r="W2743" s="57"/>
      <c r="X2743" s="57"/>
      <c r="Y2743" s="57"/>
      <c r="Z2743" s="57"/>
      <c r="AA2743" s="57"/>
      <c r="AB2743" s="57"/>
      <c r="AC2743" s="57"/>
      <c r="AD2743" s="57"/>
      <c r="AE2743" s="57"/>
      <c r="AF2743" s="57"/>
    </row>
    <row r="2744" spans="1:32" x14ac:dyDescent="0.2">
      <c r="A2744" s="57"/>
      <c r="B2744" s="57"/>
      <c r="C2744" s="57"/>
      <c r="D2744" s="57"/>
      <c r="E2744" s="57"/>
      <c r="F2744" s="985"/>
      <c r="G2744" s="57"/>
      <c r="H2744" s="57"/>
      <c r="I2744" s="990"/>
      <c r="J2744" s="57"/>
      <c r="K2744" s="57"/>
      <c r="L2744" s="57"/>
      <c r="M2744" s="57"/>
      <c r="N2744" s="57"/>
      <c r="O2744" s="57"/>
      <c r="P2744" s="57"/>
      <c r="Q2744" s="57"/>
      <c r="R2744" s="57"/>
      <c r="S2744" s="57"/>
      <c r="T2744" s="57"/>
      <c r="U2744" s="57"/>
      <c r="V2744" s="57"/>
      <c r="W2744" s="57"/>
      <c r="X2744" s="57"/>
      <c r="Y2744" s="57"/>
      <c r="Z2744" s="57"/>
      <c r="AA2744" s="57"/>
      <c r="AB2744" s="57"/>
      <c r="AC2744" s="57"/>
      <c r="AD2744" s="57"/>
      <c r="AE2744" s="57"/>
      <c r="AF2744" s="57"/>
    </row>
    <row r="2745" spans="1:32" x14ac:dyDescent="0.2">
      <c r="A2745" s="57"/>
      <c r="B2745" s="57"/>
      <c r="C2745" s="57"/>
      <c r="D2745" s="57"/>
      <c r="E2745" s="57"/>
      <c r="F2745" s="985"/>
      <c r="G2745" s="57"/>
      <c r="H2745" s="57"/>
      <c r="I2745" s="990"/>
      <c r="J2745" s="57"/>
      <c r="K2745" s="57"/>
      <c r="L2745" s="57"/>
      <c r="M2745" s="57"/>
      <c r="N2745" s="57"/>
      <c r="O2745" s="57"/>
      <c r="P2745" s="57"/>
      <c r="Q2745" s="57"/>
      <c r="R2745" s="57"/>
      <c r="S2745" s="57"/>
      <c r="T2745" s="57"/>
      <c r="U2745" s="57"/>
      <c r="V2745" s="57"/>
      <c r="W2745" s="57"/>
      <c r="X2745" s="57"/>
      <c r="Y2745" s="57"/>
      <c r="Z2745" s="57"/>
      <c r="AA2745" s="57"/>
      <c r="AB2745" s="57"/>
      <c r="AC2745" s="57"/>
      <c r="AD2745" s="57"/>
      <c r="AE2745" s="57"/>
      <c r="AF2745" s="57"/>
    </row>
    <row r="2746" spans="1:32" x14ac:dyDescent="0.2">
      <c r="A2746" s="57"/>
      <c r="B2746" s="57"/>
      <c r="C2746" s="57"/>
      <c r="D2746" s="57"/>
      <c r="E2746" s="57"/>
      <c r="F2746" s="985"/>
      <c r="G2746" s="57"/>
      <c r="H2746" s="57"/>
      <c r="I2746" s="990"/>
      <c r="J2746" s="57"/>
      <c r="K2746" s="57"/>
      <c r="L2746" s="57"/>
      <c r="M2746" s="57"/>
      <c r="N2746" s="57"/>
      <c r="O2746" s="57"/>
      <c r="P2746" s="57"/>
      <c r="Q2746" s="57"/>
      <c r="R2746" s="57"/>
      <c r="S2746" s="57"/>
      <c r="T2746" s="57"/>
      <c r="U2746" s="57"/>
      <c r="V2746" s="57"/>
      <c r="W2746" s="57"/>
      <c r="X2746" s="57"/>
      <c r="Y2746" s="57"/>
      <c r="Z2746" s="57"/>
      <c r="AA2746" s="57"/>
      <c r="AB2746" s="57"/>
      <c r="AC2746" s="57"/>
      <c r="AD2746" s="57"/>
      <c r="AE2746" s="57"/>
      <c r="AF2746" s="57"/>
    </row>
    <row r="2747" spans="1:32" x14ac:dyDescent="0.2">
      <c r="A2747" s="57"/>
      <c r="B2747" s="57"/>
      <c r="C2747" s="57"/>
      <c r="D2747" s="57"/>
      <c r="E2747" s="57"/>
      <c r="F2747" s="985"/>
      <c r="G2747" s="57"/>
      <c r="H2747" s="57"/>
      <c r="I2747" s="990"/>
      <c r="J2747" s="57"/>
      <c r="K2747" s="57"/>
      <c r="L2747" s="57"/>
      <c r="M2747" s="57"/>
      <c r="N2747" s="57"/>
      <c r="O2747" s="57"/>
      <c r="P2747" s="57"/>
      <c r="Q2747" s="57"/>
      <c r="R2747" s="57"/>
      <c r="S2747" s="57"/>
      <c r="T2747" s="57"/>
      <c r="U2747" s="57"/>
      <c r="V2747" s="57"/>
      <c r="W2747" s="57"/>
      <c r="X2747" s="57"/>
      <c r="Y2747" s="57"/>
      <c r="Z2747" s="57"/>
      <c r="AA2747" s="57"/>
      <c r="AB2747" s="57"/>
      <c r="AC2747" s="57"/>
      <c r="AD2747" s="57"/>
      <c r="AE2747" s="57"/>
      <c r="AF2747" s="57"/>
    </row>
    <row r="2748" spans="1:32" x14ac:dyDescent="0.2">
      <c r="A2748" s="57"/>
      <c r="B2748" s="57"/>
      <c r="C2748" s="57"/>
      <c r="D2748" s="57"/>
      <c r="E2748" s="57"/>
      <c r="F2748" s="985"/>
      <c r="G2748" s="57"/>
      <c r="H2748" s="57"/>
      <c r="I2748" s="990"/>
      <c r="J2748" s="57"/>
      <c r="K2748" s="57"/>
      <c r="L2748" s="57"/>
      <c r="M2748" s="57"/>
      <c r="N2748" s="57"/>
      <c r="O2748" s="57"/>
      <c r="P2748" s="57"/>
      <c r="Q2748" s="57"/>
      <c r="R2748" s="57"/>
      <c r="S2748" s="57"/>
      <c r="T2748" s="57"/>
      <c r="U2748" s="57"/>
      <c r="V2748" s="57"/>
      <c r="W2748" s="57"/>
      <c r="X2748" s="57"/>
      <c r="Y2748" s="57"/>
      <c r="Z2748" s="57"/>
      <c r="AA2748" s="57"/>
      <c r="AB2748" s="57"/>
      <c r="AC2748" s="57"/>
      <c r="AD2748" s="57"/>
      <c r="AE2748" s="57"/>
      <c r="AF2748" s="57"/>
    </row>
    <row r="2749" spans="1:32" x14ac:dyDescent="0.2">
      <c r="A2749" s="57"/>
      <c r="B2749" s="57"/>
      <c r="C2749" s="57"/>
      <c r="D2749" s="57"/>
      <c r="E2749" s="57"/>
      <c r="F2749" s="985"/>
      <c r="G2749" s="57"/>
      <c r="H2749" s="57"/>
      <c r="I2749" s="990"/>
      <c r="J2749" s="57"/>
      <c r="K2749" s="57"/>
      <c r="L2749" s="57"/>
      <c r="M2749" s="57"/>
      <c r="N2749" s="57"/>
      <c r="O2749" s="57"/>
      <c r="P2749" s="57"/>
      <c r="Q2749" s="57"/>
      <c r="R2749" s="57"/>
      <c r="S2749" s="57"/>
      <c r="T2749" s="57"/>
      <c r="U2749" s="57"/>
      <c r="V2749" s="57"/>
      <c r="W2749" s="57"/>
      <c r="X2749" s="57"/>
      <c r="Y2749" s="57"/>
      <c r="Z2749" s="57"/>
      <c r="AA2749" s="57"/>
      <c r="AB2749" s="57"/>
      <c r="AC2749" s="57"/>
      <c r="AD2749" s="57"/>
      <c r="AE2749" s="57"/>
      <c r="AF2749" s="57"/>
    </row>
    <row r="2750" spans="1:32" x14ac:dyDescent="0.2">
      <c r="A2750" s="57"/>
      <c r="B2750" s="57"/>
      <c r="C2750" s="57"/>
      <c r="D2750" s="57"/>
      <c r="E2750" s="57"/>
      <c r="F2750" s="985"/>
      <c r="G2750" s="57"/>
      <c r="H2750" s="57"/>
      <c r="I2750" s="990"/>
      <c r="J2750" s="57"/>
      <c r="K2750" s="57"/>
      <c r="L2750" s="57"/>
      <c r="M2750" s="57"/>
      <c r="N2750" s="57"/>
      <c r="O2750" s="57"/>
      <c r="P2750" s="57"/>
      <c r="Q2750" s="57"/>
      <c r="R2750" s="57"/>
      <c r="S2750" s="57"/>
      <c r="T2750" s="57"/>
      <c r="U2750" s="57"/>
      <c r="V2750" s="57"/>
      <c r="W2750" s="57"/>
      <c r="X2750" s="57"/>
      <c r="Y2750" s="57"/>
      <c r="Z2750" s="57"/>
      <c r="AA2750" s="57"/>
      <c r="AB2750" s="57"/>
      <c r="AC2750" s="57"/>
      <c r="AD2750" s="57"/>
      <c r="AE2750" s="57"/>
      <c r="AF2750" s="57"/>
    </row>
    <row r="2751" spans="1:32" x14ac:dyDescent="0.2">
      <c r="A2751" s="57"/>
      <c r="B2751" s="57"/>
      <c r="C2751" s="57"/>
      <c r="D2751" s="57"/>
      <c r="E2751" s="57"/>
      <c r="F2751" s="985"/>
      <c r="G2751" s="57"/>
      <c r="H2751" s="57"/>
      <c r="I2751" s="990"/>
      <c r="J2751" s="57"/>
      <c r="K2751" s="57"/>
      <c r="L2751" s="57"/>
      <c r="M2751" s="57"/>
      <c r="N2751" s="57"/>
      <c r="O2751" s="57"/>
      <c r="P2751" s="57"/>
      <c r="Q2751" s="57"/>
      <c r="R2751" s="57"/>
      <c r="S2751" s="57"/>
      <c r="T2751" s="57"/>
      <c r="U2751" s="57"/>
      <c r="V2751" s="57"/>
      <c r="W2751" s="57"/>
      <c r="X2751" s="57"/>
      <c r="Y2751" s="57"/>
      <c r="Z2751" s="57"/>
      <c r="AA2751" s="57"/>
      <c r="AB2751" s="57"/>
      <c r="AC2751" s="57"/>
      <c r="AD2751" s="57"/>
      <c r="AE2751" s="57"/>
      <c r="AF2751" s="57"/>
    </row>
    <row r="2752" spans="1:32" x14ac:dyDescent="0.2">
      <c r="A2752" s="57"/>
      <c r="B2752" s="57"/>
      <c r="C2752" s="57"/>
      <c r="D2752" s="57"/>
      <c r="E2752" s="57"/>
      <c r="F2752" s="985"/>
      <c r="G2752" s="57"/>
      <c r="H2752" s="57"/>
      <c r="I2752" s="990"/>
      <c r="J2752" s="57"/>
      <c r="K2752" s="57"/>
      <c r="L2752" s="57"/>
      <c r="M2752" s="57"/>
      <c r="N2752" s="57"/>
      <c r="O2752" s="57"/>
      <c r="P2752" s="57"/>
      <c r="Q2752" s="57"/>
      <c r="R2752" s="57"/>
      <c r="S2752" s="57"/>
      <c r="T2752" s="57"/>
      <c r="U2752" s="57"/>
      <c r="V2752" s="57"/>
      <c r="W2752" s="57"/>
      <c r="X2752" s="57"/>
      <c r="Y2752" s="57"/>
      <c r="Z2752" s="57"/>
      <c r="AA2752" s="57"/>
      <c r="AB2752" s="57"/>
      <c r="AC2752" s="57"/>
      <c r="AD2752" s="57"/>
      <c r="AE2752" s="57"/>
      <c r="AF2752" s="57"/>
    </row>
    <row r="2753" spans="1:32" x14ac:dyDescent="0.2">
      <c r="A2753" s="57"/>
      <c r="B2753" s="57"/>
      <c r="C2753" s="57"/>
      <c r="D2753" s="57"/>
      <c r="E2753" s="57"/>
      <c r="F2753" s="985"/>
      <c r="G2753" s="57"/>
      <c r="H2753" s="57"/>
      <c r="I2753" s="990"/>
      <c r="J2753" s="57"/>
      <c r="K2753" s="57"/>
      <c r="L2753" s="57"/>
      <c r="M2753" s="57"/>
      <c r="N2753" s="57"/>
      <c r="O2753" s="57"/>
      <c r="P2753" s="57"/>
      <c r="Q2753" s="57"/>
      <c r="R2753" s="57"/>
      <c r="S2753" s="57"/>
      <c r="T2753" s="57"/>
      <c r="U2753" s="57"/>
      <c r="V2753" s="57"/>
      <c r="W2753" s="57"/>
      <c r="X2753" s="57"/>
      <c r="Y2753" s="57"/>
      <c r="Z2753" s="57"/>
      <c r="AA2753" s="57"/>
      <c r="AB2753" s="57"/>
      <c r="AC2753" s="57"/>
      <c r="AD2753" s="57"/>
      <c r="AE2753" s="57"/>
      <c r="AF2753" s="57"/>
    </row>
    <row r="2754" spans="1:32" x14ac:dyDescent="0.2">
      <c r="A2754" s="57"/>
      <c r="B2754" s="57"/>
      <c r="C2754" s="57"/>
      <c r="D2754" s="57"/>
      <c r="E2754" s="57"/>
      <c r="F2754" s="985"/>
      <c r="G2754" s="57"/>
      <c r="H2754" s="57"/>
      <c r="I2754" s="990"/>
      <c r="J2754" s="57"/>
      <c r="K2754" s="57"/>
      <c r="L2754" s="57"/>
      <c r="M2754" s="57"/>
      <c r="N2754" s="57"/>
      <c r="O2754" s="57"/>
      <c r="P2754" s="57"/>
      <c r="Q2754" s="57"/>
      <c r="R2754" s="57"/>
      <c r="S2754" s="57"/>
      <c r="T2754" s="57"/>
      <c r="U2754" s="57"/>
      <c r="V2754" s="57"/>
      <c r="W2754" s="57"/>
      <c r="X2754" s="57"/>
      <c r="Y2754" s="57"/>
      <c r="Z2754" s="57"/>
      <c r="AA2754" s="57"/>
      <c r="AB2754" s="57"/>
      <c r="AC2754" s="57"/>
      <c r="AD2754" s="57"/>
      <c r="AE2754" s="57"/>
      <c r="AF2754" s="57"/>
    </row>
    <row r="2755" spans="1:32" x14ac:dyDescent="0.2">
      <c r="A2755" s="57"/>
      <c r="B2755" s="57"/>
      <c r="C2755" s="57"/>
      <c r="D2755" s="57"/>
      <c r="E2755" s="57"/>
      <c r="F2755" s="985"/>
      <c r="G2755" s="57"/>
      <c r="H2755" s="57"/>
      <c r="I2755" s="990"/>
      <c r="J2755" s="57"/>
      <c r="K2755" s="57"/>
      <c r="L2755" s="57"/>
      <c r="M2755" s="57"/>
      <c r="N2755" s="57"/>
      <c r="O2755" s="57"/>
      <c r="P2755" s="57"/>
      <c r="Q2755" s="57"/>
      <c r="R2755" s="57"/>
      <c r="S2755" s="57"/>
      <c r="T2755" s="57"/>
      <c r="U2755" s="57"/>
      <c r="V2755" s="57"/>
      <c r="W2755" s="57"/>
      <c r="X2755" s="57"/>
      <c r="Y2755" s="57"/>
      <c r="Z2755" s="57"/>
      <c r="AA2755" s="57"/>
      <c r="AB2755" s="57"/>
      <c r="AC2755" s="57"/>
      <c r="AD2755" s="57"/>
      <c r="AE2755" s="57"/>
      <c r="AF2755" s="57"/>
    </row>
    <row r="2756" spans="1:32" x14ac:dyDescent="0.2">
      <c r="A2756" s="57"/>
      <c r="B2756" s="57"/>
      <c r="C2756" s="57"/>
      <c r="D2756" s="57"/>
      <c r="E2756" s="57"/>
      <c r="F2756" s="985"/>
      <c r="G2756" s="57"/>
      <c r="H2756" s="57"/>
      <c r="I2756" s="990"/>
      <c r="J2756" s="57"/>
      <c r="K2756" s="57"/>
      <c r="L2756" s="57"/>
      <c r="M2756" s="57"/>
      <c r="N2756" s="57"/>
      <c r="O2756" s="57"/>
      <c r="P2756" s="57"/>
      <c r="Q2756" s="57"/>
      <c r="R2756" s="57"/>
      <c r="S2756" s="57"/>
      <c r="T2756" s="57"/>
      <c r="U2756" s="57"/>
      <c r="V2756" s="57"/>
      <c r="W2756" s="57"/>
      <c r="X2756" s="57"/>
      <c r="Y2756" s="57"/>
      <c r="Z2756" s="57"/>
      <c r="AA2756" s="57"/>
      <c r="AB2756" s="57"/>
      <c r="AC2756" s="57"/>
      <c r="AD2756" s="57"/>
      <c r="AE2756" s="57"/>
      <c r="AF2756" s="57"/>
    </row>
    <row r="2757" spans="1:32" x14ac:dyDescent="0.2">
      <c r="A2757" s="57"/>
      <c r="B2757" s="57"/>
      <c r="C2757" s="57"/>
      <c r="D2757" s="57"/>
      <c r="E2757" s="57"/>
      <c r="F2757" s="985"/>
      <c r="G2757" s="57"/>
      <c r="H2757" s="57"/>
      <c r="I2757" s="990"/>
      <c r="J2757" s="57"/>
      <c r="K2757" s="57"/>
      <c r="L2757" s="57"/>
      <c r="M2757" s="57"/>
      <c r="N2757" s="57"/>
      <c r="O2757" s="57"/>
      <c r="P2757" s="57"/>
      <c r="Q2757" s="57"/>
      <c r="R2757" s="57"/>
      <c r="S2757" s="57"/>
      <c r="T2757" s="57"/>
      <c r="U2757" s="57"/>
      <c r="V2757" s="57"/>
      <c r="W2757" s="57"/>
      <c r="X2757" s="57"/>
      <c r="Y2757" s="57"/>
      <c r="Z2757" s="57"/>
      <c r="AA2757" s="57"/>
      <c r="AB2757" s="57"/>
      <c r="AC2757" s="57"/>
      <c r="AD2757" s="57"/>
      <c r="AE2757" s="57"/>
      <c r="AF2757" s="57"/>
    </row>
    <row r="2758" spans="1:32" x14ac:dyDescent="0.2">
      <c r="A2758" s="57"/>
      <c r="B2758" s="57"/>
      <c r="C2758" s="57"/>
      <c r="D2758" s="57"/>
      <c r="E2758" s="57"/>
      <c r="F2758" s="985"/>
      <c r="G2758" s="57"/>
      <c r="H2758" s="57"/>
      <c r="I2758" s="990"/>
      <c r="J2758" s="57"/>
      <c r="K2758" s="57"/>
      <c r="L2758" s="57"/>
      <c r="M2758" s="57"/>
      <c r="N2758" s="57"/>
      <c r="O2758" s="57"/>
      <c r="P2758" s="57"/>
      <c r="Q2758" s="57"/>
      <c r="R2758" s="57"/>
      <c r="S2758" s="57"/>
      <c r="T2758" s="57"/>
      <c r="U2758" s="57"/>
      <c r="V2758" s="57"/>
      <c r="W2758" s="57"/>
      <c r="X2758" s="57"/>
      <c r="Y2758" s="57"/>
      <c r="Z2758" s="57"/>
      <c r="AA2758" s="57"/>
      <c r="AB2758" s="57"/>
      <c r="AC2758" s="57"/>
      <c r="AD2758" s="57"/>
      <c r="AE2758" s="57"/>
      <c r="AF2758" s="57"/>
    </row>
    <row r="2759" spans="1:32" x14ac:dyDescent="0.2">
      <c r="A2759" s="57"/>
      <c r="B2759" s="57"/>
      <c r="C2759" s="57"/>
      <c r="D2759" s="57"/>
      <c r="E2759" s="57"/>
      <c r="F2759" s="985"/>
      <c r="G2759" s="57"/>
      <c r="H2759" s="57"/>
      <c r="I2759" s="990"/>
      <c r="J2759" s="57"/>
      <c r="K2759" s="57"/>
      <c r="L2759" s="57"/>
      <c r="M2759" s="57"/>
      <c r="N2759" s="57"/>
      <c r="O2759" s="57"/>
      <c r="P2759" s="57"/>
      <c r="Q2759" s="57"/>
      <c r="R2759" s="57"/>
      <c r="S2759" s="57"/>
      <c r="T2759" s="57"/>
      <c r="U2759" s="57"/>
      <c r="V2759" s="57"/>
      <c r="W2759" s="57"/>
      <c r="X2759" s="57"/>
      <c r="Y2759" s="57"/>
      <c r="Z2759" s="57"/>
      <c r="AA2759" s="57"/>
      <c r="AB2759" s="57"/>
      <c r="AC2759" s="57"/>
      <c r="AD2759" s="57"/>
      <c r="AE2759" s="57"/>
      <c r="AF2759" s="57"/>
    </row>
    <row r="2760" spans="1:32" x14ac:dyDescent="0.2">
      <c r="A2760" s="57"/>
      <c r="B2760" s="57"/>
      <c r="C2760" s="57"/>
      <c r="D2760" s="57"/>
      <c r="E2760" s="57"/>
      <c r="F2760" s="985"/>
      <c r="G2760" s="57"/>
      <c r="H2760" s="57"/>
      <c r="I2760" s="990"/>
      <c r="J2760" s="57"/>
      <c r="K2760" s="57"/>
      <c r="L2760" s="57"/>
      <c r="M2760" s="57"/>
      <c r="N2760" s="57"/>
      <c r="O2760" s="57"/>
      <c r="P2760" s="57"/>
      <c r="Q2760" s="57"/>
      <c r="R2760" s="57"/>
      <c r="S2760" s="57"/>
      <c r="T2760" s="57"/>
      <c r="U2760" s="57"/>
      <c r="V2760" s="57"/>
      <c r="W2760" s="57"/>
      <c r="X2760" s="57"/>
      <c r="Y2760" s="57"/>
      <c r="Z2760" s="57"/>
      <c r="AA2760" s="57"/>
      <c r="AB2760" s="57"/>
      <c r="AC2760" s="57"/>
      <c r="AD2760" s="57"/>
      <c r="AE2760" s="57"/>
      <c r="AF2760" s="57"/>
    </row>
    <row r="2761" spans="1:32" x14ac:dyDescent="0.2">
      <c r="A2761" s="57"/>
      <c r="B2761" s="57"/>
      <c r="C2761" s="57"/>
      <c r="D2761" s="57"/>
      <c r="E2761" s="57"/>
      <c r="F2761" s="985"/>
      <c r="G2761" s="57"/>
      <c r="H2761" s="57"/>
      <c r="I2761" s="990"/>
      <c r="J2761" s="57"/>
      <c r="K2761" s="57"/>
      <c r="L2761" s="57"/>
      <c r="M2761" s="57"/>
      <c r="N2761" s="57"/>
      <c r="O2761" s="57"/>
      <c r="P2761" s="57"/>
      <c r="Q2761" s="57"/>
      <c r="R2761" s="57"/>
      <c r="S2761" s="57"/>
      <c r="T2761" s="57"/>
      <c r="U2761" s="57"/>
      <c r="V2761" s="57"/>
      <c r="W2761" s="57"/>
      <c r="X2761" s="57"/>
      <c r="Y2761" s="57"/>
      <c r="Z2761" s="57"/>
      <c r="AA2761" s="57"/>
      <c r="AB2761" s="57"/>
      <c r="AC2761" s="57"/>
      <c r="AD2761" s="57"/>
      <c r="AE2761" s="57"/>
      <c r="AF2761" s="57"/>
    </row>
    <row r="2762" spans="1:32" x14ac:dyDescent="0.2">
      <c r="A2762" s="57"/>
      <c r="B2762" s="57"/>
      <c r="C2762" s="57"/>
      <c r="D2762" s="57"/>
      <c r="E2762" s="57"/>
      <c r="F2762" s="985"/>
      <c r="G2762" s="57"/>
      <c r="H2762" s="57"/>
      <c r="I2762" s="990"/>
      <c r="J2762" s="57"/>
      <c r="K2762" s="57"/>
      <c r="L2762" s="57"/>
      <c r="M2762" s="57"/>
      <c r="N2762" s="57"/>
      <c r="O2762" s="57"/>
      <c r="P2762" s="57"/>
      <c r="Q2762" s="57"/>
      <c r="R2762" s="57"/>
      <c r="S2762" s="57"/>
      <c r="T2762" s="57"/>
      <c r="U2762" s="57"/>
      <c r="V2762" s="57"/>
      <c r="W2762" s="57"/>
      <c r="X2762" s="57"/>
      <c r="Y2762" s="57"/>
      <c r="Z2762" s="57"/>
      <c r="AA2762" s="57"/>
      <c r="AB2762" s="57"/>
      <c r="AC2762" s="57"/>
      <c r="AD2762" s="57"/>
      <c r="AE2762" s="57"/>
      <c r="AF2762" s="57"/>
    </row>
    <row r="2763" spans="1:32" x14ac:dyDescent="0.2">
      <c r="A2763" s="57"/>
      <c r="B2763" s="57"/>
      <c r="C2763" s="57"/>
      <c r="D2763" s="57"/>
      <c r="E2763" s="57"/>
      <c r="F2763" s="985"/>
      <c r="G2763" s="57"/>
      <c r="H2763" s="57"/>
      <c r="I2763" s="990"/>
      <c r="J2763" s="57"/>
      <c r="K2763" s="57"/>
      <c r="L2763" s="57"/>
      <c r="M2763" s="57"/>
      <c r="N2763" s="57"/>
      <c r="O2763" s="57"/>
      <c r="P2763" s="57"/>
      <c r="Q2763" s="57"/>
      <c r="R2763" s="57"/>
      <c r="S2763" s="57"/>
      <c r="T2763" s="57"/>
      <c r="U2763" s="57"/>
      <c r="V2763" s="57"/>
      <c r="W2763" s="57"/>
      <c r="X2763" s="57"/>
      <c r="Y2763" s="57"/>
      <c r="Z2763" s="57"/>
      <c r="AA2763" s="57"/>
      <c r="AB2763" s="57"/>
      <c r="AC2763" s="57"/>
      <c r="AD2763" s="57"/>
      <c r="AE2763" s="57"/>
      <c r="AF2763" s="57"/>
    </row>
    <row r="2764" spans="1:32" x14ac:dyDescent="0.2">
      <c r="A2764" s="57"/>
      <c r="B2764" s="57"/>
      <c r="C2764" s="57"/>
      <c r="D2764" s="57"/>
      <c r="E2764" s="57"/>
      <c r="F2764" s="985"/>
      <c r="G2764" s="57"/>
      <c r="H2764" s="57"/>
      <c r="I2764" s="990"/>
      <c r="J2764" s="57"/>
      <c r="K2764" s="57"/>
      <c r="L2764" s="57"/>
      <c r="M2764" s="57"/>
      <c r="N2764" s="57"/>
      <c r="O2764" s="57"/>
      <c r="P2764" s="57"/>
      <c r="Q2764" s="57"/>
      <c r="R2764" s="57"/>
      <c r="S2764" s="57"/>
      <c r="T2764" s="57"/>
      <c r="U2764" s="57"/>
      <c r="V2764" s="57"/>
      <c r="W2764" s="57"/>
      <c r="X2764" s="57"/>
      <c r="Y2764" s="57"/>
      <c r="Z2764" s="57"/>
      <c r="AA2764" s="57"/>
      <c r="AB2764" s="57"/>
      <c r="AC2764" s="57"/>
      <c r="AD2764" s="57"/>
      <c r="AE2764" s="57"/>
      <c r="AF2764" s="57"/>
    </row>
    <row r="2765" spans="1:32" x14ac:dyDescent="0.2">
      <c r="A2765" s="57"/>
      <c r="B2765" s="57"/>
      <c r="C2765" s="57"/>
      <c r="D2765" s="57"/>
      <c r="E2765" s="57"/>
      <c r="F2765" s="985"/>
      <c r="G2765" s="57"/>
      <c r="H2765" s="57"/>
      <c r="I2765" s="990"/>
      <c r="J2765" s="57"/>
      <c r="K2765" s="57"/>
      <c r="L2765" s="57"/>
      <c r="M2765" s="57"/>
      <c r="N2765" s="57"/>
      <c r="O2765" s="57"/>
      <c r="P2765" s="57"/>
      <c r="Q2765" s="57"/>
      <c r="R2765" s="57"/>
      <c r="S2765" s="57"/>
      <c r="T2765" s="57"/>
      <c r="U2765" s="57"/>
      <c r="V2765" s="57"/>
      <c r="W2765" s="57"/>
      <c r="X2765" s="57"/>
      <c r="Y2765" s="57"/>
      <c r="Z2765" s="57"/>
      <c r="AA2765" s="57"/>
      <c r="AB2765" s="57"/>
      <c r="AC2765" s="57"/>
      <c r="AD2765" s="57"/>
      <c r="AE2765" s="57"/>
      <c r="AF2765" s="57"/>
    </row>
    <row r="2766" spans="1:32" x14ac:dyDescent="0.2">
      <c r="A2766" s="57"/>
      <c r="B2766" s="57"/>
      <c r="C2766" s="57"/>
      <c r="D2766" s="57"/>
      <c r="E2766" s="57"/>
      <c r="F2766" s="985"/>
      <c r="G2766" s="57"/>
      <c r="H2766" s="57"/>
      <c r="I2766" s="990"/>
      <c r="J2766" s="57"/>
      <c r="K2766" s="57"/>
      <c r="L2766" s="57"/>
      <c r="M2766" s="57"/>
      <c r="N2766" s="57"/>
      <c r="O2766" s="57"/>
      <c r="P2766" s="57"/>
      <c r="Q2766" s="57"/>
      <c r="R2766" s="57"/>
      <c r="S2766" s="57"/>
      <c r="T2766" s="57"/>
      <c r="U2766" s="57"/>
      <c r="V2766" s="57"/>
      <c r="W2766" s="57"/>
      <c r="X2766" s="57"/>
      <c r="Y2766" s="57"/>
      <c r="Z2766" s="57"/>
      <c r="AA2766" s="57"/>
      <c r="AB2766" s="57"/>
      <c r="AC2766" s="57"/>
      <c r="AD2766" s="57"/>
      <c r="AE2766" s="57"/>
      <c r="AF2766" s="57"/>
    </row>
    <row r="2767" spans="1:32" x14ac:dyDescent="0.2">
      <c r="A2767" s="57"/>
      <c r="B2767" s="57"/>
      <c r="C2767" s="57"/>
      <c r="D2767" s="57"/>
      <c r="E2767" s="57"/>
      <c r="F2767" s="985"/>
      <c r="G2767" s="57"/>
      <c r="H2767" s="57"/>
      <c r="I2767" s="990"/>
      <c r="J2767" s="57"/>
      <c r="K2767" s="57"/>
      <c r="L2767" s="57"/>
      <c r="M2767" s="57"/>
      <c r="N2767" s="57"/>
      <c r="O2767" s="57"/>
      <c r="P2767" s="57"/>
      <c r="Q2767" s="57"/>
      <c r="R2767" s="57"/>
      <c r="S2767" s="57"/>
      <c r="T2767" s="57"/>
      <c r="U2767" s="57"/>
      <c r="V2767" s="57"/>
      <c r="W2767" s="57"/>
      <c r="X2767" s="57"/>
      <c r="Y2767" s="57"/>
      <c r="Z2767" s="57"/>
      <c r="AA2767" s="57"/>
      <c r="AB2767" s="57"/>
      <c r="AC2767" s="57"/>
      <c r="AD2767" s="57"/>
      <c r="AE2767" s="57"/>
      <c r="AF2767" s="57"/>
    </row>
    <row r="2768" spans="1:32" x14ac:dyDescent="0.2">
      <c r="A2768" s="57"/>
      <c r="B2768" s="57"/>
      <c r="C2768" s="57"/>
      <c r="D2768" s="57"/>
      <c r="E2768" s="57"/>
      <c r="F2768" s="985"/>
      <c r="G2768" s="57"/>
      <c r="H2768" s="57"/>
      <c r="I2768" s="990"/>
      <c r="J2768" s="57"/>
      <c r="K2768" s="57"/>
      <c r="L2768" s="57"/>
      <c r="M2768" s="57"/>
      <c r="N2768" s="57"/>
      <c r="O2768" s="57"/>
      <c r="P2768" s="57"/>
      <c r="Q2768" s="57"/>
      <c r="R2768" s="57"/>
      <c r="S2768" s="57"/>
      <c r="T2768" s="57"/>
      <c r="U2768" s="57"/>
      <c r="V2768" s="57"/>
      <c r="W2768" s="57"/>
      <c r="X2768" s="57"/>
      <c r="Y2768" s="57"/>
      <c r="Z2768" s="57"/>
      <c r="AA2768" s="57"/>
      <c r="AB2768" s="57"/>
      <c r="AC2768" s="57"/>
      <c r="AD2768" s="57"/>
      <c r="AE2768" s="57"/>
      <c r="AF2768" s="57"/>
    </row>
    <row r="2769" spans="1:32" x14ac:dyDescent="0.2">
      <c r="A2769" s="57"/>
      <c r="B2769" s="57"/>
      <c r="C2769" s="57"/>
      <c r="D2769" s="57"/>
      <c r="E2769" s="57"/>
      <c r="F2769" s="985"/>
      <c r="G2769" s="57"/>
      <c r="H2769" s="57"/>
      <c r="I2769" s="990"/>
      <c r="J2769" s="57"/>
      <c r="K2769" s="57"/>
      <c r="L2769" s="57"/>
      <c r="M2769" s="57"/>
      <c r="N2769" s="57"/>
      <c r="O2769" s="57"/>
      <c r="P2769" s="57"/>
      <c r="Q2769" s="57"/>
      <c r="R2769" s="57"/>
      <c r="S2769" s="57"/>
      <c r="T2769" s="57"/>
      <c r="U2769" s="57"/>
      <c r="V2769" s="57"/>
      <c r="W2769" s="57"/>
      <c r="X2769" s="57"/>
      <c r="Y2769" s="57"/>
      <c r="Z2769" s="57"/>
      <c r="AA2769" s="57"/>
      <c r="AB2769" s="57"/>
      <c r="AC2769" s="57"/>
      <c r="AD2769" s="57"/>
      <c r="AE2769" s="57"/>
      <c r="AF2769" s="57"/>
    </row>
    <row r="2770" spans="1:32" x14ac:dyDescent="0.2">
      <c r="A2770" s="57"/>
      <c r="B2770" s="57"/>
      <c r="C2770" s="57"/>
      <c r="D2770" s="57"/>
      <c r="E2770" s="57"/>
      <c r="F2770" s="985"/>
      <c r="G2770" s="57"/>
      <c r="H2770" s="57"/>
      <c r="I2770" s="990"/>
      <c r="J2770" s="57"/>
      <c r="K2770" s="57"/>
      <c r="L2770" s="57"/>
      <c r="M2770" s="57"/>
      <c r="N2770" s="57"/>
      <c r="O2770" s="57"/>
      <c r="P2770" s="57"/>
      <c r="Q2770" s="57"/>
      <c r="R2770" s="57"/>
      <c r="S2770" s="57"/>
      <c r="T2770" s="57"/>
      <c r="U2770" s="57"/>
      <c r="V2770" s="57"/>
      <c r="W2770" s="57"/>
      <c r="X2770" s="57"/>
      <c r="Y2770" s="57"/>
      <c r="Z2770" s="57"/>
      <c r="AA2770" s="57"/>
      <c r="AB2770" s="57"/>
      <c r="AC2770" s="57"/>
      <c r="AD2770" s="57"/>
      <c r="AE2770" s="57"/>
      <c r="AF2770" s="57"/>
    </row>
    <row r="2771" spans="1:32" x14ac:dyDescent="0.2">
      <c r="A2771" s="57"/>
      <c r="B2771" s="57"/>
      <c r="C2771" s="57"/>
      <c r="D2771" s="57"/>
      <c r="E2771" s="57"/>
      <c r="F2771" s="985"/>
      <c r="G2771" s="57"/>
      <c r="H2771" s="57"/>
      <c r="I2771" s="990"/>
      <c r="J2771" s="57"/>
      <c r="K2771" s="57"/>
      <c r="L2771" s="57"/>
      <c r="M2771" s="57"/>
      <c r="N2771" s="57"/>
      <c r="O2771" s="57"/>
      <c r="P2771" s="57"/>
      <c r="Q2771" s="57"/>
      <c r="R2771" s="57"/>
      <c r="S2771" s="57"/>
      <c r="T2771" s="57"/>
      <c r="U2771" s="57"/>
      <c r="V2771" s="57"/>
      <c r="W2771" s="57"/>
      <c r="X2771" s="57"/>
      <c r="Y2771" s="57"/>
      <c r="Z2771" s="57"/>
      <c r="AA2771" s="57"/>
      <c r="AB2771" s="57"/>
      <c r="AC2771" s="57"/>
      <c r="AD2771" s="57"/>
      <c r="AE2771" s="57"/>
      <c r="AF2771" s="57"/>
    </row>
    <row r="2772" spans="1:32" x14ac:dyDescent="0.2">
      <c r="A2772" s="57"/>
      <c r="B2772" s="57"/>
      <c r="C2772" s="57"/>
      <c r="D2772" s="57"/>
      <c r="E2772" s="57"/>
      <c r="F2772" s="985"/>
      <c r="G2772" s="57"/>
      <c r="H2772" s="57"/>
      <c r="I2772" s="990"/>
      <c r="J2772" s="57"/>
      <c r="K2772" s="57"/>
      <c r="L2772" s="57"/>
      <c r="M2772" s="57"/>
      <c r="N2772" s="57"/>
      <c r="O2772" s="57"/>
      <c r="P2772" s="57"/>
      <c r="Q2772" s="57"/>
      <c r="R2772" s="57"/>
      <c r="S2772" s="57"/>
      <c r="T2772" s="57"/>
      <c r="U2772" s="57"/>
      <c r="V2772" s="57"/>
      <c r="W2772" s="57"/>
      <c r="X2772" s="57"/>
      <c r="Y2772" s="57"/>
      <c r="Z2772" s="57"/>
      <c r="AA2772" s="57"/>
      <c r="AB2772" s="57"/>
      <c r="AC2772" s="57"/>
      <c r="AD2772" s="57"/>
      <c r="AE2772" s="57"/>
      <c r="AF2772" s="57"/>
    </row>
    <row r="2773" spans="1:32" x14ac:dyDescent="0.2">
      <c r="A2773" s="57"/>
      <c r="B2773" s="57"/>
      <c r="C2773" s="57"/>
      <c r="D2773" s="57"/>
      <c r="E2773" s="57"/>
      <c r="F2773" s="985"/>
      <c r="G2773" s="57"/>
      <c r="H2773" s="57"/>
      <c r="I2773" s="990"/>
      <c r="J2773" s="57"/>
      <c r="K2773" s="57"/>
      <c r="L2773" s="57"/>
      <c r="M2773" s="57"/>
      <c r="N2773" s="57"/>
      <c r="O2773" s="57"/>
      <c r="P2773" s="57"/>
      <c r="Q2773" s="57"/>
      <c r="R2773" s="57"/>
      <c r="S2773" s="57"/>
      <c r="T2773" s="57"/>
      <c r="U2773" s="57"/>
      <c r="V2773" s="57"/>
      <c r="W2773" s="57"/>
      <c r="X2773" s="57"/>
      <c r="Y2773" s="57"/>
      <c r="Z2773" s="57"/>
      <c r="AA2773" s="57"/>
      <c r="AB2773" s="57"/>
      <c r="AC2773" s="57"/>
      <c r="AD2773" s="57"/>
      <c r="AE2773" s="57"/>
      <c r="AF2773" s="57"/>
    </row>
    <row r="2774" spans="1:32" x14ac:dyDescent="0.2">
      <c r="A2774" s="57"/>
      <c r="B2774" s="57"/>
      <c r="C2774" s="57"/>
      <c r="D2774" s="57"/>
      <c r="E2774" s="57"/>
      <c r="F2774" s="985"/>
      <c r="G2774" s="57"/>
      <c r="H2774" s="57"/>
      <c r="I2774" s="990"/>
      <c r="J2774" s="57"/>
      <c r="K2774" s="57"/>
      <c r="L2774" s="57"/>
      <c r="M2774" s="57"/>
      <c r="N2774" s="57"/>
      <c r="O2774" s="57"/>
      <c r="P2774" s="57"/>
      <c r="Q2774" s="57"/>
      <c r="R2774" s="57"/>
      <c r="S2774" s="57"/>
      <c r="T2774" s="57"/>
      <c r="U2774" s="57"/>
      <c r="V2774" s="57"/>
      <c r="W2774" s="57"/>
      <c r="X2774" s="57"/>
      <c r="Y2774" s="57"/>
      <c r="Z2774" s="57"/>
      <c r="AA2774" s="57"/>
      <c r="AB2774" s="57"/>
      <c r="AC2774" s="57"/>
      <c r="AD2774" s="57"/>
      <c r="AE2774" s="57"/>
      <c r="AF2774" s="57"/>
    </row>
    <row r="2775" spans="1:32" x14ac:dyDescent="0.2">
      <c r="A2775" s="57"/>
      <c r="B2775" s="57"/>
      <c r="C2775" s="57"/>
      <c r="D2775" s="57"/>
      <c r="E2775" s="57"/>
      <c r="F2775" s="985"/>
      <c r="G2775" s="57"/>
      <c r="H2775" s="57"/>
      <c r="I2775" s="990"/>
      <c r="J2775" s="57"/>
      <c r="K2775" s="57"/>
      <c r="L2775" s="57"/>
      <c r="M2775" s="57"/>
      <c r="N2775" s="57"/>
      <c r="O2775" s="57"/>
      <c r="P2775" s="57"/>
      <c r="Q2775" s="57"/>
      <c r="R2775" s="57"/>
      <c r="S2775" s="57"/>
      <c r="T2775" s="57"/>
      <c r="U2775" s="57"/>
      <c r="V2775" s="57"/>
      <c r="W2775" s="57"/>
      <c r="X2775" s="57"/>
      <c r="Y2775" s="57"/>
      <c r="Z2775" s="57"/>
      <c r="AA2775" s="57"/>
      <c r="AB2775" s="57"/>
      <c r="AC2775" s="57"/>
      <c r="AD2775" s="57"/>
      <c r="AE2775" s="57"/>
      <c r="AF2775" s="57"/>
    </row>
    <row r="2776" spans="1:32" x14ac:dyDescent="0.2">
      <c r="A2776" s="57"/>
      <c r="B2776" s="57"/>
      <c r="C2776" s="57"/>
      <c r="D2776" s="57"/>
      <c r="E2776" s="57"/>
      <c r="F2776" s="985"/>
      <c r="G2776" s="57"/>
      <c r="H2776" s="57"/>
      <c r="I2776" s="990"/>
      <c r="J2776" s="57"/>
      <c r="K2776" s="57"/>
      <c r="L2776" s="57"/>
      <c r="M2776" s="57"/>
      <c r="N2776" s="57"/>
      <c r="O2776" s="57"/>
      <c r="P2776" s="57"/>
      <c r="Q2776" s="57"/>
      <c r="R2776" s="57"/>
      <c r="S2776" s="57"/>
      <c r="T2776" s="57"/>
      <c r="U2776" s="57"/>
      <c r="V2776" s="57"/>
      <c r="W2776" s="57"/>
      <c r="X2776" s="57"/>
      <c r="Y2776" s="57"/>
      <c r="Z2776" s="57"/>
      <c r="AA2776" s="57"/>
      <c r="AB2776" s="57"/>
      <c r="AC2776" s="57"/>
      <c r="AD2776" s="57"/>
      <c r="AE2776" s="57"/>
      <c r="AF2776" s="57"/>
    </row>
    <row r="2777" spans="1:32" x14ac:dyDescent="0.2">
      <c r="A2777" s="57"/>
      <c r="B2777" s="57"/>
      <c r="C2777" s="57"/>
      <c r="D2777" s="57"/>
      <c r="E2777" s="57"/>
      <c r="F2777" s="985"/>
      <c r="G2777" s="57"/>
      <c r="H2777" s="57"/>
      <c r="I2777" s="990"/>
      <c r="J2777" s="57"/>
      <c r="K2777" s="57"/>
      <c r="L2777" s="57"/>
      <c r="M2777" s="57"/>
      <c r="N2777" s="57"/>
      <c r="O2777" s="57"/>
      <c r="P2777" s="57"/>
      <c r="Q2777" s="57"/>
      <c r="R2777" s="57"/>
      <c r="S2777" s="57"/>
      <c r="T2777" s="57"/>
      <c r="U2777" s="57"/>
      <c r="V2777" s="57"/>
      <c r="W2777" s="57"/>
      <c r="X2777" s="57"/>
      <c r="Y2777" s="57"/>
      <c r="Z2777" s="57"/>
      <c r="AA2777" s="57"/>
      <c r="AB2777" s="57"/>
      <c r="AC2777" s="57"/>
      <c r="AD2777" s="57"/>
      <c r="AE2777" s="57"/>
      <c r="AF2777" s="57"/>
    </row>
    <row r="2778" spans="1:32" x14ac:dyDescent="0.2">
      <c r="A2778" s="57"/>
      <c r="B2778" s="57"/>
      <c r="C2778" s="57"/>
      <c r="D2778" s="57"/>
      <c r="E2778" s="57"/>
      <c r="F2778" s="985"/>
      <c r="G2778" s="57"/>
      <c r="H2778" s="57"/>
      <c r="I2778" s="990"/>
      <c r="J2778" s="57"/>
      <c r="K2778" s="57"/>
      <c r="L2778" s="57"/>
      <c r="M2778" s="57"/>
      <c r="N2778" s="57"/>
      <c r="O2778" s="57"/>
      <c r="P2778" s="57"/>
      <c r="Q2778" s="57"/>
      <c r="R2778" s="57"/>
      <c r="S2778" s="57"/>
      <c r="T2778" s="57"/>
      <c r="U2778" s="57"/>
      <c r="V2778" s="57"/>
      <c r="W2778" s="57"/>
      <c r="X2778" s="57"/>
      <c r="Y2778" s="57"/>
      <c r="Z2778" s="57"/>
      <c r="AA2778" s="57"/>
      <c r="AB2778" s="57"/>
      <c r="AC2778" s="57"/>
      <c r="AD2778" s="57"/>
      <c r="AE2778" s="57"/>
      <c r="AF2778" s="57"/>
    </row>
    <row r="2779" spans="1:32" x14ac:dyDescent="0.2">
      <c r="A2779" s="57"/>
      <c r="B2779" s="57"/>
      <c r="C2779" s="57"/>
      <c r="D2779" s="57"/>
      <c r="E2779" s="57"/>
      <c r="F2779" s="985"/>
      <c r="G2779" s="57"/>
      <c r="H2779" s="57"/>
      <c r="I2779" s="990"/>
      <c r="J2779" s="57"/>
      <c r="K2779" s="57"/>
      <c r="L2779" s="57"/>
      <c r="M2779" s="57"/>
      <c r="N2779" s="57"/>
      <c r="O2779" s="57"/>
      <c r="P2779" s="57"/>
      <c r="Q2779" s="57"/>
      <c r="R2779" s="57"/>
      <c r="S2779" s="57"/>
      <c r="T2779" s="57"/>
      <c r="U2779" s="57"/>
      <c r="V2779" s="57"/>
      <c r="W2779" s="57"/>
      <c r="X2779" s="57"/>
      <c r="Y2779" s="57"/>
      <c r="Z2779" s="57"/>
      <c r="AA2779" s="57"/>
      <c r="AB2779" s="57"/>
      <c r="AC2779" s="57"/>
      <c r="AD2779" s="57"/>
      <c r="AE2779" s="57"/>
      <c r="AF2779" s="57"/>
    </row>
    <row r="2780" spans="1:32" x14ac:dyDescent="0.2">
      <c r="A2780" s="57"/>
      <c r="B2780" s="57"/>
      <c r="C2780" s="57"/>
      <c r="D2780" s="57"/>
      <c r="E2780" s="57"/>
      <c r="F2780" s="985"/>
      <c r="G2780" s="57"/>
      <c r="H2780" s="57"/>
      <c r="I2780" s="990"/>
      <c r="J2780" s="57"/>
      <c r="K2780" s="57"/>
      <c r="L2780" s="57"/>
      <c r="M2780" s="57"/>
      <c r="N2780" s="57"/>
      <c r="O2780" s="57"/>
      <c r="P2780" s="57"/>
      <c r="Q2780" s="57"/>
      <c r="R2780" s="57"/>
      <c r="S2780" s="57"/>
      <c r="T2780" s="57"/>
      <c r="U2780" s="57"/>
      <c r="V2780" s="57"/>
      <c r="W2780" s="57"/>
      <c r="X2780" s="57"/>
      <c r="Y2780" s="57"/>
      <c r="Z2780" s="57"/>
      <c r="AA2780" s="57"/>
      <c r="AB2780" s="57"/>
      <c r="AC2780" s="57"/>
      <c r="AD2780" s="57"/>
      <c r="AE2780" s="57"/>
      <c r="AF2780" s="57"/>
    </row>
    <row r="2781" spans="1:32" x14ac:dyDescent="0.2">
      <c r="A2781" s="57"/>
      <c r="B2781" s="57"/>
      <c r="C2781" s="57"/>
      <c r="D2781" s="57"/>
      <c r="E2781" s="57"/>
      <c r="F2781" s="985"/>
      <c r="G2781" s="57"/>
      <c r="H2781" s="57"/>
      <c r="I2781" s="990"/>
      <c r="J2781" s="57"/>
      <c r="K2781" s="57"/>
      <c r="L2781" s="57"/>
      <c r="M2781" s="57"/>
      <c r="N2781" s="57"/>
      <c r="O2781" s="57"/>
      <c r="P2781" s="57"/>
      <c r="Q2781" s="57"/>
      <c r="R2781" s="57"/>
      <c r="S2781" s="57"/>
      <c r="T2781" s="57"/>
      <c r="U2781" s="57"/>
      <c r="V2781" s="57"/>
      <c r="W2781" s="57"/>
      <c r="X2781" s="57"/>
      <c r="Y2781" s="57"/>
      <c r="Z2781" s="57"/>
      <c r="AA2781" s="57"/>
      <c r="AB2781" s="57"/>
      <c r="AC2781" s="57"/>
      <c r="AD2781" s="57"/>
      <c r="AE2781" s="57"/>
      <c r="AF2781" s="57"/>
    </row>
    <row r="2782" spans="1:32" x14ac:dyDescent="0.2">
      <c r="A2782" s="57"/>
      <c r="B2782" s="57"/>
      <c r="C2782" s="57"/>
      <c r="D2782" s="57"/>
      <c r="E2782" s="57"/>
      <c r="F2782" s="985"/>
      <c r="G2782" s="57"/>
      <c r="H2782" s="57"/>
      <c r="I2782" s="990"/>
      <c r="J2782" s="57"/>
      <c r="K2782" s="57"/>
      <c r="L2782" s="57"/>
      <c r="M2782" s="57"/>
      <c r="N2782" s="57"/>
      <c r="O2782" s="57"/>
      <c r="P2782" s="57"/>
      <c r="Q2782" s="57"/>
      <c r="R2782" s="57"/>
      <c r="S2782" s="57"/>
      <c r="T2782" s="57"/>
      <c r="U2782" s="57"/>
      <c r="V2782" s="57"/>
      <c r="W2782" s="57"/>
      <c r="X2782" s="57"/>
      <c r="Y2782" s="57"/>
      <c r="Z2782" s="57"/>
      <c r="AA2782" s="57"/>
      <c r="AB2782" s="57"/>
      <c r="AC2782" s="57"/>
      <c r="AD2782" s="57"/>
      <c r="AE2782" s="57"/>
      <c r="AF2782" s="57"/>
    </row>
    <row r="2783" spans="1:32" x14ac:dyDescent="0.2">
      <c r="A2783" s="57"/>
      <c r="B2783" s="57"/>
      <c r="C2783" s="57"/>
      <c r="D2783" s="57"/>
      <c r="E2783" s="57"/>
      <c r="F2783" s="985"/>
      <c r="G2783" s="57"/>
      <c r="H2783" s="57"/>
      <c r="I2783" s="990"/>
      <c r="J2783" s="57"/>
      <c r="K2783" s="57"/>
      <c r="L2783" s="57"/>
      <c r="M2783" s="57"/>
      <c r="N2783" s="57"/>
      <c r="O2783" s="57"/>
      <c r="P2783" s="57"/>
      <c r="Q2783" s="57"/>
      <c r="R2783" s="57"/>
      <c r="S2783" s="57"/>
      <c r="T2783" s="57"/>
      <c r="U2783" s="57"/>
      <c r="V2783" s="57"/>
      <c r="W2783" s="57"/>
      <c r="X2783" s="57"/>
      <c r="Y2783" s="57"/>
      <c r="Z2783" s="57"/>
      <c r="AA2783" s="57"/>
      <c r="AB2783" s="57"/>
      <c r="AC2783" s="57"/>
      <c r="AD2783" s="57"/>
      <c r="AE2783" s="57"/>
      <c r="AF2783" s="57"/>
    </row>
    <row r="2784" spans="1:32" x14ac:dyDescent="0.2">
      <c r="A2784" s="57"/>
      <c r="B2784" s="57"/>
      <c r="C2784" s="57"/>
      <c r="D2784" s="57"/>
      <c r="E2784" s="57"/>
      <c r="F2784" s="985"/>
      <c r="G2784" s="57"/>
      <c r="H2784" s="57"/>
      <c r="I2784" s="990"/>
      <c r="J2784" s="57"/>
      <c r="K2784" s="57"/>
      <c r="L2784" s="57"/>
      <c r="M2784" s="57"/>
      <c r="N2784" s="57"/>
      <c r="O2784" s="57"/>
      <c r="P2784" s="57"/>
      <c r="Q2784" s="57"/>
      <c r="R2784" s="57"/>
      <c r="S2784" s="57"/>
      <c r="T2784" s="57"/>
      <c r="U2784" s="57"/>
      <c r="V2784" s="57"/>
      <c r="W2784" s="57"/>
      <c r="X2784" s="57"/>
      <c r="Y2784" s="57"/>
      <c r="Z2784" s="57"/>
      <c r="AA2784" s="57"/>
      <c r="AB2784" s="57"/>
      <c r="AC2784" s="57"/>
      <c r="AD2784" s="57"/>
      <c r="AE2784" s="57"/>
      <c r="AF2784" s="57"/>
    </row>
    <row r="2785" spans="1:32" x14ac:dyDescent="0.2">
      <c r="A2785" s="57"/>
      <c r="B2785" s="57"/>
      <c r="C2785" s="57"/>
      <c r="D2785" s="57"/>
      <c r="E2785" s="57"/>
      <c r="F2785" s="985"/>
      <c r="G2785" s="57"/>
      <c r="H2785" s="57"/>
      <c r="I2785" s="990"/>
      <c r="J2785" s="57"/>
      <c r="K2785" s="57"/>
      <c r="L2785" s="57"/>
      <c r="M2785" s="57"/>
      <c r="N2785" s="57"/>
      <c r="O2785" s="57"/>
      <c r="P2785" s="57"/>
      <c r="Q2785" s="57"/>
      <c r="R2785" s="57"/>
      <c r="S2785" s="57"/>
      <c r="T2785" s="57"/>
      <c r="U2785" s="57"/>
      <c r="V2785" s="57"/>
      <c r="W2785" s="57"/>
      <c r="X2785" s="57"/>
      <c r="Y2785" s="57"/>
      <c r="Z2785" s="57"/>
      <c r="AA2785" s="57"/>
      <c r="AB2785" s="57"/>
      <c r="AC2785" s="57"/>
      <c r="AD2785" s="57"/>
      <c r="AE2785" s="57"/>
      <c r="AF2785" s="57"/>
    </row>
    <row r="2786" spans="1:32" x14ac:dyDescent="0.2">
      <c r="A2786" s="57"/>
      <c r="B2786" s="57"/>
      <c r="C2786" s="57"/>
      <c r="D2786" s="57"/>
      <c r="E2786" s="57"/>
      <c r="F2786" s="985"/>
      <c r="G2786" s="57"/>
      <c r="H2786" s="57"/>
      <c r="I2786" s="990"/>
      <c r="J2786" s="57"/>
      <c r="K2786" s="57"/>
      <c r="L2786" s="57"/>
      <c r="M2786" s="57"/>
      <c r="N2786" s="57"/>
      <c r="O2786" s="57"/>
      <c r="P2786" s="57"/>
      <c r="Q2786" s="57"/>
      <c r="R2786" s="57"/>
      <c r="S2786" s="57"/>
      <c r="T2786" s="57"/>
      <c r="U2786" s="57"/>
      <c r="V2786" s="57"/>
      <c r="W2786" s="57"/>
      <c r="X2786" s="57"/>
      <c r="Y2786" s="57"/>
      <c r="Z2786" s="57"/>
      <c r="AA2786" s="57"/>
      <c r="AB2786" s="57"/>
      <c r="AC2786" s="57"/>
      <c r="AD2786" s="57"/>
      <c r="AE2786" s="57"/>
      <c r="AF2786" s="57"/>
    </row>
    <row r="2787" spans="1:32" x14ac:dyDescent="0.2">
      <c r="A2787" s="57"/>
      <c r="B2787" s="57"/>
      <c r="C2787" s="57"/>
      <c r="D2787" s="57"/>
      <c r="E2787" s="57"/>
      <c r="F2787" s="985"/>
      <c r="G2787" s="57"/>
      <c r="H2787" s="57"/>
      <c r="I2787" s="990"/>
      <c r="J2787" s="57"/>
      <c r="K2787" s="57"/>
      <c r="L2787" s="57"/>
      <c r="M2787" s="57"/>
      <c r="N2787" s="57"/>
      <c r="O2787" s="57"/>
      <c r="P2787" s="57"/>
      <c r="Q2787" s="57"/>
      <c r="R2787" s="57"/>
      <c r="S2787" s="57"/>
      <c r="T2787" s="57"/>
      <c r="U2787" s="57"/>
      <c r="V2787" s="57"/>
      <c r="W2787" s="57"/>
      <c r="X2787" s="57"/>
      <c r="Y2787" s="57"/>
      <c r="Z2787" s="57"/>
      <c r="AA2787" s="57"/>
      <c r="AB2787" s="57"/>
      <c r="AC2787" s="57"/>
      <c r="AD2787" s="57"/>
      <c r="AE2787" s="57"/>
      <c r="AF2787" s="57"/>
    </row>
    <row r="2788" spans="1:32" x14ac:dyDescent="0.2">
      <c r="A2788" s="57"/>
      <c r="B2788" s="57"/>
      <c r="C2788" s="57"/>
      <c r="D2788" s="57"/>
      <c r="E2788" s="57"/>
      <c r="F2788" s="985"/>
      <c r="G2788" s="57"/>
      <c r="H2788" s="57"/>
      <c r="I2788" s="990"/>
      <c r="J2788" s="57"/>
      <c r="K2788" s="57"/>
      <c r="L2788" s="57"/>
      <c r="M2788" s="57"/>
      <c r="N2788" s="57"/>
      <c r="O2788" s="57"/>
      <c r="P2788" s="57"/>
      <c r="Q2788" s="57"/>
      <c r="R2788" s="57"/>
      <c r="S2788" s="57"/>
      <c r="T2788" s="57"/>
      <c r="U2788" s="57"/>
      <c r="V2788" s="57"/>
      <c r="W2788" s="57"/>
      <c r="X2788" s="57"/>
      <c r="Y2788" s="57"/>
      <c r="Z2788" s="57"/>
      <c r="AA2788" s="57"/>
      <c r="AB2788" s="57"/>
      <c r="AC2788" s="57"/>
      <c r="AD2788" s="57"/>
      <c r="AE2788" s="57"/>
      <c r="AF2788" s="57"/>
    </row>
    <row r="2789" spans="1:32" x14ac:dyDescent="0.2">
      <c r="A2789" s="57"/>
      <c r="B2789" s="57"/>
      <c r="C2789" s="57"/>
      <c r="D2789" s="57"/>
      <c r="E2789" s="57"/>
      <c r="F2789" s="985"/>
      <c r="G2789" s="57"/>
      <c r="H2789" s="57"/>
      <c r="I2789" s="990"/>
      <c r="J2789" s="57"/>
      <c r="K2789" s="57"/>
      <c r="L2789" s="57"/>
      <c r="M2789" s="57"/>
      <c r="N2789" s="57"/>
      <c r="O2789" s="57"/>
      <c r="P2789" s="57"/>
      <c r="Q2789" s="57"/>
      <c r="R2789" s="57"/>
      <c r="S2789" s="57"/>
      <c r="T2789" s="57"/>
      <c r="U2789" s="57"/>
      <c r="V2789" s="57"/>
      <c r="W2789" s="57"/>
      <c r="X2789" s="57"/>
      <c r="Y2789" s="57"/>
      <c r="Z2789" s="57"/>
      <c r="AA2789" s="57"/>
      <c r="AB2789" s="57"/>
      <c r="AC2789" s="57"/>
      <c r="AD2789" s="57"/>
      <c r="AE2789" s="57"/>
      <c r="AF2789" s="57"/>
    </row>
    <row r="2790" spans="1:32" x14ac:dyDescent="0.2">
      <c r="A2790" s="57"/>
      <c r="B2790" s="57"/>
      <c r="C2790" s="57"/>
      <c r="D2790" s="57"/>
      <c r="E2790" s="57"/>
      <c r="F2790" s="985"/>
      <c r="G2790" s="57"/>
      <c r="H2790" s="57"/>
      <c r="I2790" s="990"/>
      <c r="J2790" s="57"/>
      <c r="K2790" s="57"/>
      <c r="L2790" s="57"/>
      <c r="M2790" s="57"/>
      <c r="N2790" s="57"/>
      <c r="O2790" s="57"/>
      <c r="P2790" s="57"/>
      <c r="Q2790" s="57"/>
      <c r="R2790" s="57"/>
      <c r="S2790" s="57"/>
      <c r="T2790" s="57"/>
      <c r="U2790" s="57"/>
      <c r="V2790" s="57"/>
      <c r="W2790" s="57"/>
      <c r="X2790" s="57"/>
      <c r="Y2790" s="57"/>
      <c r="Z2790" s="57"/>
      <c r="AA2790" s="57"/>
      <c r="AB2790" s="57"/>
      <c r="AC2790" s="57"/>
      <c r="AD2790" s="57"/>
      <c r="AE2790" s="57"/>
      <c r="AF2790" s="57"/>
    </row>
    <row r="2791" spans="1:32" x14ac:dyDescent="0.2">
      <c r="A2791" s="57"/>
      <c r="B2791" s="57"/>
      <c r="C2791" s="57"/>
      <c r="D2791" s="57"/>
      <c r="E2791" s="57"/>
      <c r="F2791" s="985"/>
      <c r="G2791" s="57"/>
      <c r="H2791" s="57"/>
      <c r="I2791" s="990"/>
      <c r="J2791" s="57"/>
      <c r="K2791" s="57"/>
      <c r="L2791" s="57"/>
      <c r="M2791" s="57"/>
      <c r="N2791" s="57"/>
      <c r="O2791" s="57"/>
      <c r="P2791" s="57"/>
      <c r="Q2791" s="57"/>
      <c r="R2791" s="57"/>
      <c r="S2791" s="57"/>
      <c r="T2791" s="57"/>
      <c r="U2791" s="57"/>
      <c r="V2791" s="57"/>
      <c r="W2791" s="57"/>
      <c r="X2791" s="57"/>
      <c r="Y2791" s="57"/>
      <c r="Z2791" s="57"/>
      <c r="AA2791" s="57"/>
      <c r="AB2791" s="57"/>
      <c r="AC2791" s="57"/>
      <c r="AD2791" s="57"/>
      <c r="AE2791" s="57"/>
      <c r="AF2791" s="57"/>
    </row>
    <row r="2792" spans="1:32" x14ac:dyDescent="0.2">
      <c r="A2792" s="57"/>
      <c r="B2792" s="57"/>
      <c r="C2792" s="57"/>
      <c r="D2792" s="57"/>
      <c r="E2792" s="57"/>
      <c r="F2792" s="985"/>
      <c r="G2792" s="57"/>
      <c r="H2792" s="57"/>
      <c r="I2792" s="990"/>
      <c r="J2792" s="57"/>
      <c r="K2792" s="57"/>
      <c r="L2792" s="57"/>
      <c r="M2792" s="57"/>
      <c r="N2792" s="57"/>
      <c r="O2792" s="57"/>
      <c r="P2792" s="57"/>
      <c r="Q2792" s="57"/>
      <c r="R2792" s="57"/>
      <c r="S2792" s="57"/>
      <c r="T2792" s="57"/>
      <c r="U2792" s="57"/>
      <c r="V2792" s="57"/>
      <c r="W2792" s="57"/>
      <c r="X2792" s="57"/>
      <c r="Y2792" s="57"/>
      <c r="Z2792" s="57"/>
      <c r="AA2792" s="57"/>
      <c r="AB2792" s="57"/>
      <c r="AC2792" s="57"/>
      <c r="AD2792" s="57"/>
      <c r="AE2792" s="57"/>
      <c r="AF2792" s="57"/>
    </row>
    <row r="2793" spans="1:32" x14ac:dyDescent="0.2">
      <c r="A2793" s="57"/>
      <c r="B2793" s="57"/>
      <c r="C2793" s="57"/>
      <c r="D2793" s="57"/>
      <c r="E2793" s="57"/>
      <c r="F2793" s="985"/>
      <c r="G2793" s="57"/>
      <c r="H2793" s="57"/>
      <c r="I2793" s="990"/>
      <c r="J2793" s="57"/>
      <c r="K2793" s="57"/>
      <c r="L2793" s="57"/>
      <c r="M2793" s="57"/>
      <c r="N2793" s="57"/>
      <c r="O2793" s="57"/>
      <c r="P2793" s="57"/>
      <c r="Q2793" s="57"/>
      <c r="R2793" s="57"/>
      <c r="S2793" s="57"/>
      <c r="T2793" s="57"/>
      <c r="U2793" s="57"/>
      <c r="V2793" s="57"/>
      <c r="W2793" s="57"/>
      <c r="X2793" s="57"/>
      <c r="Y2793" s="57"/>
      <c r="Z2793" s="57"/>
      <c r="AA2793" s="57"/>
      <c r="AB2793" s="57"/>
      <c r="AC2793" s="57"/>
      <c r="AD2793" s="57"/>
      <c r="AE2793" s="57"/>
      <c r="AF2793" s="57"/>
    </row>
    <row r="2794" spans="1:32" x14ac:dyDescent="0.2">
      <c r="A2794" s="57"/>
      <c r="B2794" s="57"/>
      <c r="C2794" s="57"/>
      <c r="D2794" s="57"/>
      <c r="E2794" s="57"/>
      <c r="F2794" s="985"/>
      <c r="G2794" s="57"/>
      <c r="H2794" s="57"/>
      <c r="I2794" s="990"/>
      <c r="J2794" s="57"/>
      <c r="K2794" s="57"/>
      <c r="L2794" s="57"/>
      <c r="M2794" s="57"/>
      <c r="N2794" s="57"/>
      <c r="O2794" s="57"/>
      <c r="P2794" s="57"/>
      <c r="Q2794" s="57"/>
      <c r="R2794" s="57"/>
      <c r="S2794" s="57"/>
      <c r="T2794" s="57"/>
      <c r="U2794" s="57"/>
      <c r="V2794" s="57"/>
      <c r="W2794" s="57"/>
      <c r="X2794" s="57"/>
      <c r="Y2794" s="57"/>
      <c r="Z2794" s="57"/>
      <c r="AA2794" s="57"/>
      <c r="AB2794" s="57"/>
      <c r="AC2794" s="57"/>
      <c r="AD2794" s="57"/>
      <c r="AE2794" s="57"/>
      <c r="AF2794" s="57"/>
    </row>
    <row r="2795" spans="1:32" x14ac:dyDescent="0.2">
      <c r="A2795" s="57"/>
      <c r="B2795" s="57"/>
      <c r="C2795" s="57"/>
      <c r="D2795" s="57"/>
      <c r="E2795" s="57"/>
      <c r="F2795" s="985"/>
      <c r="G2795" s="57"/>
      <c r="H2795" s="57"/>
      <c r="I2795" s="990"/>
      <c r="J2795" s="57"/>
      <c r="K2795" s="57"/>
      <c r="L2795" s="57"/>
      <c r="M2795" s="57"/>
      <c r="N2795" s="57"/>
      <c r="O2795" s="57"/>
      <c r="P2795" s="57"/>
      <c r="Q2795" s="57"/>
      <c r="R2795" s="57"/>
      <c r="S2795" s="57"/>
      <c r="T2795" s="57"/>
      <c r="U2795" s="57"/>
      <c r="V2795" s="57"/>
      <c r="W2795" s="57"/>
      <c r="X2795" s="57"/>
      <c r="Y2795" s="57"/>
      <c r="Z2795" s="57"/>
      <c r="AA2795" s="57"/>
      <c r="AB2795" s="57"/>
      <c r="AC2795" s="57"/>
      <c r="AD2795" s="57"/>
      <c r="AE2795" s="57"/>
      <c r="AF2795" s="57"/>
    </row>
    <row r="2796" spans="1:32" x14ac:dyDescent="0.2">
      <c r="A2796" s="57"/>
      <c r="B2796" s="57"/>
      <c r="C2796" s="57"/>
      <c r="D2796" s="57"/>
      <c r="E2796" s="57"/>
      <c r="F2796" s="985"/>
      <c r="G2796" s="57"/>
      <c r="H2796" s="57"/>
      <c r="I2796" s="990"/>
      <c r="J2796" s="57"/>
      <c r="K2796" s="57"/>
      <c r="L2796" s="57"/>
      <c r="M2796" s="57"/>
      <c r="N2796" s="57"/>
      <c r="O2796" s="57"/>
      <c r="P2796" s="57"/>
      <c r="Q2796" s="57"/>
      <c r="R2796" s="57"/>
      <c r="S2796" s="57"/>
      <c r="T2796" s="57"/>
      <c r="U2796" s="57"/>
      <c r="V2796" s="57"/>
      <c r="W2796" s="57"/>
      <c r="X2796" s="57"/>
      <c r="Y2796" s="57"/>
      <c r="Z2796" s="57"/>
      <c r="AA2796" s="57"/>
      <c r="AB2796" s="57"/>
      <c r="AC2796" s="57"/>
      <c r="AD2796" s="57"/>
      <c r="AE2796" s="57"/>
      <c r="AF2796" s="57"/>
    </row>
    <row r="2797" spans="1:32" x14ac:dyDescent="0.2">
      <c r="A2797" s="57"/>
      <c r="B2797" s="57"/>
      <c r="C2797" s="57"/>
      <c r="D2797" s="57"/>
      <c r="E2797" s="57"/>
      <c r="F2797" s="985"/>
      <c r="G2797" s="57"/>
      <c r="H2797" s="57"/>
      <c r="I2797" s="990"/>
      <c r="J2797" s="57"/>
      <c r="K2797" s="57"/>
      <c r="L2797" s="57"/>
      <c r="M2797" s="57"/>
      <c r="N2797" s="57"/>
      <c r="O2797" s="57"/>
      <c r="P2797" s="57"/>
      <c r="Q2797" s="57"/>
      <c r="R2797" s="57"/>
      <c r="S2797" s="57"/>
      <c r="T2797" s="57"/>
      <c r="U2797" s="57"/>
      <c r="V2797" s="57"/>
      <c r="W2797" s="57"/>
      <c r="X2797" s="57"/>
      <c r="Y2797" s="57"/>
      <c r="Z2797" s="57"/>
      <c r="AA2797" s="57"/>
      <c r="AB2797" s="57"/>
      <c r="AC2797" s="57"/>
      <c r="AD2797" s="57"/>
      <c r="AE2797" s="57"/>
      <c r="AF2797" s="57"/>
    </row>
    <row r="2798" spans="1:32" x14ac:dyDescent="0.2">
      <c r="A2798" s="57"/>
      <c r="B2798" s="57"/>
      <c r="C2798" s="57"/>
      <c r="D2798" s="57"/>
      <c r="E2798" s="57"/>
      <c r="F2798" s="985"/>
      <c r="G2798" s="57"/>
      <c r="H2798" s="57"/>
      <c r="I2798" s="990"/>
      <c r="J2798" s="57"/>
      <c r="K2798" s="57"/>
      <c r="L2798" s="57"/>
      <c r="M2798" s="57"/>
      <c r="N2798" s="57"/>
      <c r="O2798" s="57"/>
      <c r="P2798" s="57"/>
      <c r="Q2798" s="57"/>
      <c r="R2798" s="57"/>
      <c r="S2798" s="57"/>
      <c r="T2798" s="57"/>
      <c r="U2798" s="57"/>
      <c r="V2798" s="57"/>
      <c r="W2798" s="57"/>
      <c r="X2798" s="57"/>
      <c r="Y2798" s="57"/>
      <c r="Z2798" s="57"/>
      <c r="AA2798" s="57"/>
      <c r="AB2798" s="57"/>
      <c r="AC2798" s="57"/>
      <c r="AD2798" s="57"/>
      <c r="AE2798" s="57"/>
      <c r="AF2798" s="57"/>
    </row>
    <row r="2799" spans="1:32" x14ac:dyDescent="0.2">
      <c r="A2799" s="57"/>
      <c r="B2799" s="57"/>
      <c r="C2799" s="57"/>
      <c r="D2799" s="57"/>
      <c r="E2799" s="57"/>
      <c r="F2799" s="985"/>
      <c r="G2799" s="57"/>
      <c r="H2799" s="57"/>
      <c r="I2799" s="990"/>
      <c r="J2799" s="57"/>
      <c r="K2799" s="57"/>
      <c r="L2799" s="57"/>
      <c r="M2799" s="57"/>
      <c r="N2799" s="57"/>
      <c r="O2799" s="57"/>
      <c r="P2799" s="57"/>
      <c r="Q2799" s="57"/>
      <c r="R2799" s="57"/>
      <c r="S2799" s="57"/>
      <c r="T2799" s="57"/>
      <c r="U2799" s="57"/>
      <c r="V2799" s="57"/>
      <c r="W2799" s="57"/>
      <c r="X2799" s="57"/>
      <c r="Y2799" s="57"/>
      <c r="Z2799" s="57"/>
      <c r="AA2799" s="57"/>
      <c r="AB2799" s="57"/>
      <c r="AC2799" s="57"/>
      <c r="AD2799" s="57"/>
      <c r="AE2799" s="57"/>
      <c r="AF2799" s="57"/>
    </row>
    <row r="2800" spans="1:32" x14ac:dyDescent="0.2">
      <c r="A2800" s="57"/>
      <c r="B2800" s="57"/>
      <c r="C2800" s="57"/>
      <c r="D2800" s="57"/>
      <c r="E2800" s="57"/>
      <c r="F2800" s="985"/>
      <c r="G2800" s="57"/>
      <c r="H2800" s="57"/>
      <c r="I2800" s="990"/>
      <c r="J2800" s="57"/>
      <c r="K2800" s="57"/>
      <c r="L2800" s="57"/>
      <c r="M2800" s="57"/>
      <c r="N2800" s="57"/>
      <c r="O2800" s="57"/>
      <c r="P2800" s="57"/>
      <c r="Q2800" s="57"/>
      <c r="R2800" s="57"/>
      <c r="S2800" s="57"/>
      <c r="T2800" s="57"/>
      <c r="U2800" s="57"/>
      <c r="V2800" s="57"/>
      <c r="W2800" s="57"/>
      <c r="X2800" s="57"/>
      <c r="Y2800" s="57"/>
      <c r="Z2800" s="57"/>
      <c r="AA2800" s="57"/>
      <c r="AB2800" s="57"/>
      <c r="AC2800" s="57"/>
      <c r="AD2800" s="57"/>
      <c r="AE2800" s="57"/>
      <c r="AF2800" s="57"/>
    </row>
    <row r="2801" spans="1:32" x14ac:dyDescent="0.2">
      <c r="A2801" s="57"/>
      <c r="B2801" s="57"/>
      <c r="C2801" s="57"/>
      <c r="D2801" s="57"/>
      <c r="E2801" s="57"/>
      <c r="F2801" s="985"/>
      <c r="G2801" s="57"/>
      <c r="H2801" s="57"/>
      <c r="I2801" s="990"/>
      <c r="J2801" s="57"/>
      <c r="K2801" s="57"/>
      <c r="L2801" s="57"/>
      <c r="M2801" s="57"/>
      <c r="N2801" s="57"/>
      <c r="O2801" s="57"/>
      <c r="P2801" s="57"/>
      <c r="Q2801" s="57"/>
      <c r="R2801" s="57"/>
      <c r="S2801" s="57"/>
      <c r="T2801" s="57"/>
      <c r="U2801" s="57"/>
      <c r="V2801" s="57"/>
      <c r="W2801" s="57"/>
      <c r="X2801" s="57"/>
      <c r="Y2801" s="57"/>
      <c r="Z2801" s="57"/>
      <c r="AA2801" s="57"/>
      <c r="AB2801" s="57"/>
      <c r="AC2801" s="57"/>
      <c r="AD2801" s="57"/>
      <c r="AE2801" s="57"/>
      <c r="AF2801" s="57"/>
    </row>
    <row r="2802" spans="1:32" x14ac:dyDescent="0.2">
      <c r="A2802" s="57"/>
      <c r="B2802" s="57"/>
      <c r="C2802" s="57"/>
      <c r="D2802" s="57"/>
      <c r="E2802" s="57"/>
      <c r="F2802" s="985"/>
      <c r="G2802" s="57"/>
      <c r="H2802" s="57"/>
      <c r="I2802" s="990"/>
      <c r="J2802" s="57"/>
      <c r="K2802" s="57"/>
      <c r="L2802" s="57"/>
      <c r="M2802" s="57"/>
      <c r="N2802" s="57"/>
      <c r="O2802" s="57"/>
      <c r="P2802" s="57"/>
      <c r="Q2802" s="57"/>
      <c r="R2802" s="57"/>
      <c r="S2802" s="57"/>
      <c r="T2802" s="57"/>
      <c r="U2802" s="57"/>
      <c r="V2802" s="57"/>
      <c r="W2802" s="57"/>
      <c r="X2802" s="57"/>
      <c r="Y2802" s="57"/>
      <c r="Z2802" s="57"/>
      <c r="AA2802" s="57"/>
      <c r="AB2802" s="57"/>
      <c r="AC2802" s="57"/>
      <c r="AD2802" s="57"/>
      <c r="AE2802" s="57"/>
      <c r="AF2802" s="57"/>
    </row>
    <row r="2803" spans="1:32" x14ac:dyDescent="0.2">
      <c r="A2803" s="57"/>
      <c r="B2803" s="57"/>
      <c r="C2803" s="57"/>
      <c r="D2803" s="57"/>
      <c r="E2803" s="57"/>
      <c r="F2803" s="985"/>
      <c r="G2803" s="57"/>
      <c r="H2803" s="57"/>
      <c r="I2803" s="990"/>
      <c r="J2803" s="57"/>
      <c r="K2803" s="57"/>
      <c r="L2803" s="57"/>
      <c r="M2803" s="57"/>
      <c r="N2803" s="57"/>
      <c r="O2803" s="57"/>
      <c r="P2803" s="57"/>
      <c r="Q2803" s="57"/>
      <c r="R2803" s="57"/>
      <c r="S2803" s="57"/>
      <c r="T2803" s="57"/>
      <c r="U2803" s="57"/>
      <c r="V2803" s="57"/>
      <c r="W2803" s="57"/>
      <c r="X2803" s="57"/>
      <c r="Y2803" s="57"/>
      <c r="Z2803" s="57"/>
      <c r="AA2803" s="57"/>
      <c r="AB2803" s="57"/>
      <c r="AC2803" s="57"/>
      <c r="AD2803" s="57"/>
      <c r="AE2803" s="57"/>
      <c r="AF2803" s="57"/>
    </row>
    <row r="2804" spans="1:32" x14ac:dyDescent="0.2">
      <c r="A2804" s="57"/>
      <c r="B2804" s="57"/>
      <c r="C2804" s="57"/>
      <c r="D2804" s="57"/>
      <c r="E2804" s="57"/>
      <c r="F2804" s="985"/>
      <c r="G2804" s="57"/>
      <c r="H2804" s="57"/>
      <c r="I2804" s="990"/>
      <c r="J2804" s="57"/>
      <c r="K2804" s="57"/>
      <c r="L2804" s="57"/>
      <c r="M2804" s="57"/>
      <c r="N2804" s="57"/>
      <c r="O2804" s="57"/>
      <c r="P2804" s="57"/>
      <c r="Q2804" s="57"/>
      <c r="R2804" s="57"/>
      <c r="S2804" s="57"/>
      <c r="T2804" s="57"/>
      <c r="U2804" s="57"/>
      <c r="V2804" s="57"/>
      <c r="W2804" s="57"/>
      <c r="X2804" s="57"/>
      <c r="Y2804" s="57"/>
      <c r="Z2804" s="57"/>
      <c r="AA2804" s="57"/>
      <c r="AB2804" s="57"/>
      <c r="AC2804" s="57"/>
      <c r="AD2804" s="57"/>
      <c r="AE2804" s="57"/>
      <c r="AF2804" s="57"/>
    </row>
    <row r="2805" spans="1:32" x14ac:dyDescent="0.2">
      <c r="A2805" s="57"/>
      <c r="B2805" s="57"/>
      <c r="C2805" s="57"/>
      <c r="D2805" s="57"/>
      <c r="E2805" s="57"/>
      <c r="F2805" s="985"/>
      <c r="G2805" s="57"/>
      <c r="H2805" s="57"/>
      <c r="I2805" s="990"/>
      <c r="J2805" s="57"/>
      <c r="K2805" s="57"/>
      <c r="L2805" s="57"/>
      <c r="M2805" s="57"/>
      <c r="N2805" s="57"/>
      <c r="O2805" s="57"/>
      <c r="P2805" s="57"/>
      <c r="Q2805" s="57"/>
      <c r="R2805" s="57"/>
      <c r="S2805" s="57"/>
      <c r="T2805" s="57"/>
      <c r="U2805" s="57"/>
      <c r="V2805" s="57"/>
      <c r="W2805" s="57"/>
      <c r="X2805" s="57"/>
      <c r="Y2805" s="57"/>
      <c r="Z2805" s="57"/>
      <c r="AA2805" s="57"/>
      <c r="AB2805" s="57"/>
      <c r="AC2805" s="57"/>
      <c r="AD2805" s="57"/>
      <c r="AE2805" s="57"/>
      <c r="AF2805" s="57"/>
    </row>
    <row r="2806" spans="1:32" x14ac:dyDescent="0.2">
      <c r="A2806" s="57"/>
      <c r="B2806" s="57"/>
      <c r="C2806" s="57"/>
      <c r="D2806" s="57"/>
      <c r="E2806" s="57"/>
      <c r="F2806" s="985"/>
      <c r="G2806" s="57"/>
      <c r="H2806" s="57"/>
      <c r="I2806" s="990"/>
      <c r="J2806" s="57"/>
      <c r="K2806" s="57"/>
      <c r="L2806" s="57"/>
      <c r="M2806" s="57"/>
      <c r="N2806" s="57"/>
      <c r="O2806" s="57"/>
      <c r="P2806" s="57"/>
      <c r="Q2806" s="57"/>
      <c r="R2806" s="57"/>
      <c r="S2806" s="57"/>
      <c r="T2806" s="57"/>
      <c r="U2806" s="57"/>
      <c r="V2806" s="57"/>
      <c r="W2806" s="57"/>
      <c r="X2806" s="57"/>
      <c r="Y2806" s="57"/>
      <c r="Z2806" s="57"/>
      <c r="AA2806" s="57"/>
      <c r="AB2806" s="57"/>
      <c r="AC2806" s="57"/>
      <c r="AD2806" s="57"/>
      <c r="AE2806" s="57"/>
      <c r="AF2806" s="57"/>
    </row>
    <row r="2807" spans="1:32" x14ac:dyDescent="0.2">
      <c r="A2807" s="57"/>
      <c r="B2807" s="57"/>
      <c r="C2807" s="57"/>
      <c r="D2807" s="57"/>
      <c r="E2807" s="57"/>
      <c r="F2807" s="985"/>
      <c r="G2807" s="57"/>
      <c r="H2807" s="57"/>
      <c r="I2807" s="990"/>
      <c r="J2807" s="57"/>
      <c r="K2807" s="57"/>
      <c r="L2807" s="57"/>
      <c r="M2807" s="57"/>
      <c r="N2807" s="57"/>
      <c r="O2807" s="57"/>
      <c r="P2807" s="57"/>
      <c r="Q2807" s="57"/>
      <c r="R2807" s="57"/>
      <c r="S2807" s="57"/>
      <c r="T2807" s="57"/>
      <c r="U2807" s="57"/>
      <c r="V2807" s="57"/>
      <c r="W2807" s="57"/>
      <c r="X2807" s="57"/>
      <c r="Y2807" s="57"/>
      <c r="Z2807" s="57"/>
      <c r="AA2807" s="57"/>
      <c r="AB2807" s="57"/>
      <c r="AC2807" s="57"/>
      <c r="AD2807" s="57"/>
      <c r="AE2807" s="57"/>
      <c r="AF2807" s="57"/>
    </row>
    <row r="2808" spans="1:32" x14ac:dyDescent="0.2">
      <c r="A2808" s="57"/>
      <c r="B2808" s="57"/>
      <c r="C2808" s="57"/>
      <c r="D2808" s="57"/>
      <c r="E2808" s="57"/>
      <c r="F2808" s="985"/>
      <c r="G2808" s="57"/>
      <c r="H2808" s="57"/>
      <c r="I2808" s="990"/>
      <c r="J2808" s="57"/>
      <c r="K2808" s="57"/>
      <c r="L2808" s="57"/>
      <c r="M2808" s="57"/>
      <c r="N2808" s="57"/>
      <c r="O2808" s="57"/>
      <c r="P2808" s="57"/>
      <c r="Q2808" s="57"/>
      <c r="R2808" s="57"/>
      <c r="S2808" s="57"/>
      <c r="T2808" s="57"/>
      <c r="U2808" s="57"/>
      <c r="V2808" s="57"/>
      <c r="W2808" s="57"/>
      <c r="X2808" s="57"/>
      <c r="Y2808" s="57"/>
      <c r="Z2808" s="57"/>
      <c r="AA2808" s="57"/>
      <c r="AB2808" s="57"/>
      <c r="AC2808" s="57"/>
      <c r="AD2808" s="57"/>
      <c r="AE2808" s="57"/>
      <c r="AF2808" s="57"/>
    </row>
    <row r="2809" spans="1:32" x14ac:dyDescent="0.2">
      <c r="A2809" s="57"/>
      <c r="B2809" s="57"/>
      <c r="C2809" s="57"/>
      <c r="D2809" s="57"/>
      <c r="E2809" s="57"/>
      <c r="F2809" s="985"/>
      <c r="G2809" s="57"/>
      <c r="H2809" s="57"/>
      <c r="I2809" s="990"/>
      <c r="J2809" s="57"/>
      <c r="K2809" s="57"/>
      <c r="L2809" s="57"/>
      <c r="M2809" s="57"/>
      <c r="N2809" s="57"/>
      <c r="O2809" s="57"/>
      <c r="P2809" s="57"/>
      <c r="Q2809" s="57"/>
      <c r="R2809" s="57"/>
      <c r="S2809" s="57"/>
      <c r="T2809" s="57"/>
      <c r="U2809" s="57"/>
      <c r="V2809" s="57"/>
      <c r="W2809" s="57"/>
      <c r="X2809" s="57"/>
      <c r="Y2809" s="57"/>
      <c r="Z2809" s="57"/>
      <c r="AA2809" s="57"/>
      <c r="AB2809" s="57"/>
      <c r="AC2809" s="57"/>
      <c r="AD2809" s="57"/>
      <c r="AE2809" s="57"/>
      <c r="AF2809" s="57"/>
    </row>
    <row r="2810" spans="1:32" x14ac:dyDescent="0.2">
      <c r="A2810" s="57"/>
      <c r="B2810" s="57"/>
      <c r="C2810" s="57"/>
      <c r="D2810" s="57"/>
      <c r="E2810" s="57"/>
      <c r="F2810" s="985"/>
      <c r="G2810" s="57"/>
      <c r="H2810" s="57"/>
      <c r="I2810" s="990"/>
      <c r="J2810" s="57"/>
      <c r="K2810" s="57"/>
      <c r="L2810" s="57"/>
      <c r="M2810" s="57"/>
      <c r="N2810" s="57"/>
      <c r="O2810" s="57"/>
      <c r="P2810" s="57"/>
      <c r="Q2810" s="57"/>
      <c r="R2810" s="57"/>
      <c r="S2810" s="57"/>
      <c r="T2810" s="57"/>
      <c r="U2810" s="57"/>
      <c r="V2810" s="57"/>
      <c r="W2810" s="57"/>
      <c r="X2810" s="57"/>
      <c r="Y2810" s="57"/>
      <c r="Z2810" s="57"/>
      <c r="AA2810" s="57"/>
      <c r="AB2810" s="57"/>
      <c r="AC2810" s="57"/>
      <c r="AD2810" s="57"/>
      <c r="AE2810" s="57"/>
      <c r="AF2810" s="57"/>
    </row>
    <row r="2811" spans="1:32" x14ac:dyDescent="0.2">
      <c r="A2811" s="57"/>
      <c r="B2811" s="57"/>
      <c r="C2811" s="57"/>
      <c r="D2811" s="57"/>
      <c r="E2811" s="57"/>
      <c r="F2811" s="985"/>
      <c r="G2811" s="57"/>
      <c r="H2811" s="57"/>
      <c r="I2811" s="990"/>
      <c r="J2811" s="57"/>
      <c r="K2811" s="57"/>
      <c r="L2811" s="57"/>
      <c r="M2811" s="57"/>
      <c r="N2811" s="57"/>
      <c r="O2811" s="57"/>
      <c r="P2811" s="57"/>
      <c r="Q2811" s="57"/>
      <c r="R2811" s="57"/>
      <c r="S2811" s="57"/>
      <c r="T2811" s="57"/>
      <c r="U2811" s="57"/>
      <c r="V2811" s="57"/>
      <c r="W2811" s="57"/>
      <c r="X2811" s="57"/>
      <c r="Y2811" s="57"/>
      <c r="Z2811" s="57"/>
      <c r="AA2811" s="57"/>
      <c r="AB2811" s="57"/>
      <c r="AC2811" s="57"/>
      <c r="AD2811" s="57"/>
      <c r="AE2811" s="57"/>
      <c r="AF2811" s="57"/>
    </row>
    <row r="2812" spans="1:32" x14ac:dyDescent="0.2">
      <c r="A2812" s="57"/>
      <c r="B2812" s="57"/>
      <c r="C2812" s="57"/>
      <c r="D2812" s="57"/>
      <c r="E2812" s="57"/>
      <c r="F2812" s="985"/>
      <c r="G2812" s="57"/>
      <c r="H2812" s="57"/>
      <c r="I2812" s="990"/>
      <c r="J2812" s="57"/>
      <c r="K2812" s="57"/>
      <c r="L2812" s="57"/>
      <c r="M2812" s="57"/>
      <c r="N2812" s="57"/>
      <c r="O2812" s="57"/>
      <c r="P2812" s="57"/>
      <c r="Q2812" s="57"/>
      <c r="R2812" s="57"/>
      <c r="S2812" s="57"/>
      <c r="T2812" s="57"/>
      <c r="U2812" s="57"/>
      <c r="V2812" s="57"/>
      <c r="W2812" s="57"/>
      <c r="X2812" s="57"/>
      <c r="Y2812" s="57"/>
      <c r="Z2812" s="57"/>
      <c r="AA2812" s="57"/>
      <c r="AB2812" s="57"/>
      <c r="AC2812" s="57"/>
      <c r="AD2812" s="57"/>
      <c r="AE2812" s="57"/>
      <c r="AF2812" s="57"/>
    </row>
    <row r="2813" spans="1:32" x14ac:dyDescent="0.2">
      <c r="A2813" s="57"/>
      <c r="B2813" s="57"/>
      <c r="C2813" s="57"/>
      <c r="D2813" s="57"/>
      <c r="E2813" s="57"/>
      <c r="F2813" s="985"/>
      <c r="G2813" s="57"/>
      <c r="H2813" s="57"/>
      <c r="I2813" s="990"/>
      <c r="J2813" s="57"/>
      <c r="K2813" s="57"/>
      <c r="L2813" s="57"/>
      <c r="M2813" s="57"/>
      <c r="N2813" s="57"/>
      <c r="O2813" s="57"/>
      <c r="P2813" s="57"/>
      <c r="Q2813" s="57"/>
      <c r="R2813" s="57"/>
      <c r="S2813" s="57"/>
      <c r="T2813" s="57"/>
      <c r="U2813" s="57"/>
      <c r="V2813" s="57"/>
      <c r="W2813" s="57"/>
      <c r="X2813" s="57"/>
      <c r="Y2813" s="57"/>
      <c r="Z2813" s="57"/>
      <c r="AA2813" s="57"/>
      <c r="AB2813" s="57"/>
      <c r="AC2813" s="57"/>
      <c r="AD2813" s="57"/>
      <c r="AE2813" s="57"/>
      <c r="AF2813" s="57"/>
    </row>
    <row r="2814" spans="1:32" x14ac:dyDescent="0.2">
      <c r="A2814" s="57"/>
      <c r="B2814" s="57"/>
      <c r="C2814" s="57"/>
      <c r="D2814" s="57"/>
      <c r="E2814" s="57"/>
      <c r="F2814" s="985"/>
      <c r="G2814" s="57"/>
      <c r="H2814" s="57"/>
      <c r="I2814" s="990"/>
      <c r="J2814" s="57"/>
      <c r="K2814" s="57"/>
      <c r="L2814" s="57"/>
      <c r="M2814" s="57"/>
      <c r="N2814" s="57"/>
      <c r="O2814" s="57"/>
      <c r="P2814" s="57"/>
      <c r="Q2814" s="57"/>
      <c r="R2814" s="57"/>
      <c r="S2814" s="57"/>
      <c r="T2814" s="57"/>
      <c r="U2814" s="57"/>
      <c r="V2814" s="57"/>
      <c r="W2814" s="57"/>
      <c r="X2814" s="57"/>
      <c r="Y2814" s="57"/>
      <c r="Z2814" s="57"/>
      <c r="AA2814" s="57"/>
      <c r="AB2814" s="57"/>
      <c r="AC2814" s="57"/>
      <c r="AD2814" s="57"/>
      <c r="AE2814" s="57"/>
      <c r="AF2814" s="57"/>
    </row>
    <row r="2815" spans="1:32" x14ac:dyDescent="0.2">
      <c r="A2815" s="57"/>
      <c r="B2815" s="57"/>
      <c r="C2815" s="57"/>
      <c r="D2815" s="57"/>
      <c r="E2815" s="57"/>
      <c r="F2815" s="985"/>
      <c r="G2815" s="57"/>
      <c r="H2815" s="57"/>
      <c r="I2815" s="990"/>
      <c r="J2815" s="57"/>
      <c r="K2815" s="57"/>
      <c r="L2815" s="57"/>
      <c r="M2815" s="57"/>
      <c r="N2815" s="57"/>
      <c r="O2815" s="57"/>
      <c r="P2815" s="57"/>
      <c r="Q2815" s="57"/>
      <c r="R2815" s="57"/>
      <c r="S2815" s="57"/>
      <c r="T2815" s="57"/>
      <c r="U2815" s="57"/>
      <c r="V2815" s="57"/>
      <c r="W2815" s="57"/>
      <c r="X2815" s="57"/>
      <c r="Y2815" s="57"/>
      <c r="Z2815" s="57"/>
      <c r="AA2815" s="57"/>
      <c r="AB2815" s="57"/>
      <c r="AC2815" s="57"/>
      <c r="AD2815" s="57"/>
      <c r="AE2815" s="57"/>
      <c r="AF2815" s="57"/>
    </row>
    <row r="2816" spans="1:32" x14ac:dyDescent="0.2">
      <c r="A2816" s="57"/>
      <c r="B2816" s="57"/>
      <c r="C2816" s="57"/>
      <c r="D2816" s="57"/>
      <c r="E2816" s="57"/>
      <c r="F2816" s="985"/>
      <c r="G2816" s="57"/>
      <c r="H2816" s="57"/>
      <c r="I2816" s="990"/>
      <c r="J2816" s="57"/>
      <c r="K2816" s="57"/>
      <c r="L2816" s="57"/>
      <c r="M2816" s="57"/>
      <c r="N2816" s="57"/>
      <c r="O2816" s="57"/>
      <c r="P2816" s="57"/>
      <c r="Q2816" s="57"/>
      <c r="R2816" s="57"/>
      <c r="S2816" s="57"/>
      <c r="T2816" s="57"/>
      <c r="U2816" s="57"/>
      <c r="V2816" s="57"/>
      <c r="W2816" s="57"/>
      <c r="X2816" s="57"/>
      <c r="Y2816" s="57"/>
      <c r="Z2816" s="57"/>
      <c r="AA2816" s="57"/>
      <c r="AB2816" s="57"/>
      <c r="AC2816" s="57"/>
      <c r="AD2816" s="57"/>
      <c r="AE2816" s="57"/>
      <c r="AF2816" s="57"/>
    </row>
    <row r="2817" spans="1:32" x14ac:dyDescent="0.2">
      <c r="A2817" s="57"/>
      <c r="B2817" s="57"/>
      <c r="C2817" s="57"/>
      <c r="D2817" s="57"/>
      <c r="E2817" s="57"/>
      <c r="F2817" s="985"/>
      <c r="G2817" s="57"/>
      <c r="H2817" s="57"/>
      <c r="I2817" s="990"/>
      <c r="J2817" s="57"/>
      <c r="K2817" s="57"/>
      <c r="L2817" s="57"/>
      <c r="M2817" s="57"/>
      <c r="N2817" s="57"/>
      <c r="O2817" s="57"/>
      <c r="P2817" s="57"/>
      <c r="Q2817" s="57"/>
      <c r="R2817" s="57"/>
      <c r="S2817" s="57"/>
      <c r="T2817" s="57"/>
      <c r="U2817" s="57"/>
      <c r="V2817" s="57"/>
      <c r="W2817" s="57"/>
      <c r="X2817" s="57"/>
      <c r="Y2817" s="57"/>
      <c r="Z2817" s="57"/>
      <c r="AA2817" s="57"/>
      <c r="AB2817" s="57"/>
      <c r="AC2817" s="57"/>
      <c r="AD2817" s="57"/>
      <c r="AE2817" s="57"/>
      <c r="AF2817" s="57"/>
    </row>
    <row r="2818" spans="1:32" x14ac:dyDescent="0.2">
      <c r="A2818" s="57"/>
      <c r="B2818" s="57"/>
      <c r="C2818" s="57"/>
      <c r="D2818" s="57"/>
      <c r="E2818" s="57"/>
      <c r="F2818" s="985"/>
      <c r="G2818" s="57"/>
      <c r="H2818" s="57"/>
      <c r="I2818" s="990"/>
      <c r="J2818" s="57"/>
      <c r="K2818" s="57"/>
      <c r="L2818" s="57"/>
      <c r="M2818" s="57"/>
      <c r="N2818" s="57"/>
      <c r="O2818" s="57"/>
      <c r="P2818" s="57"/>
      <c r="Q2818" s="57"/>
      <c r="R2818" s="57"/>
      <c r="S2818" s="57"/>
      <c r="T2818" s="57"/>
      <c r="U2818" s="57"/>
      <c r="V2818" s="57"/>
      <c r="W2818" s="57"/>
      <c r="X2818" s="57"/>
      <c r="Y2818" s="57"/>
      <c r="Z2818" s="57"/>
      <c r="AA2818" s="57"/>
      <c r="AB2818" s="57"/>
      <c r="AC2818" s="57"/>
      <c r="AD2818" s="57"/>
      <c r="AE2818" s="57"/>
      <c r="AF2818" s="57"/>
    </row>
    <row r="2819" spans="1:32" x14ac:dyDescent="0.2">
      <c r="A2819" s="57"/>
      <c r="B2819" s="57"/>
      <c r="C2819" s="57"/>
      <c r="D2819" s="57"/>
      <c r="E2819" s="57"/>
      <c r="F2819" s="985"/>
      <c r="G2819" s="57"/>
      <c r="H2819" s="57"/>
      <c r="I2819" s="990"/>
      <c r="J2819" s="57"/>
      <c r="K2819" s="57"/>
      <c r="L2819" s="57"/>
      <c r="M2819" s="57"/>
      <c r="N2819" s="57"/>
      <c r="O2819" s="57"/>
      <c r="P2819" s="57"/>
      <c r="Q2819" s="57"/>
      <c r="R2819" s="57"/>
      <c r="S2819" s="57"/>
      <c r="T2819" s="57"/>
      <c r="U2819" s="57"/>
      <c r="V2819" s="57"/>
      <c r="W2819" s="57"/>
      <c r="X2819" s="57"/>
      <c r="Y2819" s="57"/>
      <c r="Z2819" s="57"/>
      <c r="AA2819" s="57"/>
      <c r="AB2819" s="57"/>
      <c r="AC2819" s="57"/>
      <c r="AD2819" s="57"/>
      <c r="AE2819" s="57"/>
      <c r="AF2819" s="57"/>
    </row>
    <row r="2820" spans="1:32" x14ac:dyDescent="0.2">
      <c r="A2820" s="57"/>
      <c r="B2820" s="57"/>
      <c r="C2820" s="57"/>
      <c r="D2820" s="57"/>
      <c r="E2820" s="57"/>
      <c r="F2820" s="985"/>
      <c r="G2820" s="57"/>
      <c r="H2820" s="57"/>
      <c r="I2820" s="990"/>
      <c r="J2820" s="57"/>
      <c r="K2820" s="57"/>
      <c r="L2820" s="57"/>
      <c r="M2820" s="57"/>
      <c r="N2820" s="57"/>
      <c r="O2820" s="57"/>
      <c r="P2820" s="57"/>
      <c r="Q2820" s="57"/>
      <c r="R2820" s="57"/>
      <c r="S2820" s="57"/>
      <c r="T2820" s="57"/>
      <c r="U2820" s="57"/>
      <c r="V2820" s="57"/>
      <c r="W2820" s="57"/>
      <c r="X2820" s="57"/>
      <c r="Y2820" s="57"/>
      <c r="Z2820" s="57"/>
      <c r="AA2820" s="57"/>
      <c r="AB2820" s="57"/>
      <c r="AC2820" s="57"/>
      <c r="AD2820" s="57"/>
      <c r="AE2820" s="57"/>
      <c r="AF2820" s="57"/>
    </row>
    <row r="2821" spans="1:32" x14ac:dyDescent="0.2">
      <c r="A2821" s="57"/>
      <c r="B2821" s="57"/>
      <c r="C2821" s="57"/>
      <c r="D2821" s="57"/>
      <c r="E2821" s="57"/>
      <c r="F2821" s="985"/>
      <c r="G2821" s="57"/>
      <c r="H2821" s="57"/>
      <c r="I2821" s="990"/>
      <c r="J2821" s="57"/>
      <c r="K2821" s="57"/>
      <c r="L2821" s="57"/>
      <c r="M2821" s="57"/>
      <c r="N2821" s="57"/>
      <c r="O2821" s="57"/>
      <c r="P2821" s="57"/>
      <c r="Q2821" s="57"/>
      <c r="R2821" s="57"/>
      <c r="S2821" s="57"/>
      <c r="T2821" s="57"/>
      <c r="U2821" s="57"/>
      <c r="V2821" s="57"/>
      <c r="W2821" s="57"/>
      <c r="X2821" s="57"/>
      <c r="Y2821" s="57"/>
      <c r="Z2821" s="57"/>
      <c r="AA2821" s="57"/>
      <c r="AB2821" s="57"/>
      <c r="AC2821" s="57"/>
      <c r="AD2821" s="57"/>
      <c r="AE2821" s="57"/>
      <c r="AF2821" s="57"/>
    </row>
    <row r="2822" spans="1:32" x14ac:dyDescent="0.2">
      <c r="A2822" s="57"/>
      <c r="B2822" s="57"/>
      <c r="C2822" s="57"/>
      <c r="D2822" s="57"/>
      <c r="E2822" s="57"/>
      <c r="F2822" s="985"/>
      <c r="G2822" s="57"/>
      <c r="H2822" s="57"/>
      <c r="I2822" s="990"/>
      <c r="J2822" s="57"/>
      <c r="K2822" s="57"/>
      <c r="L2822" s="57"/>
      <c r="M2822" s="57"/>
      <c r="N2822" s="57"/>
      <c r="O2822" s="57"/>
      <c r="P2822" s="57"/>
      <c r="Q2822" s="57"/>
      <c r="R2822" s="57"/>
      <c r="S2822" s="57"/>
      <c r="T2822" s="57"/>
      <c r="U2822" s="57"/>
      <c r="V2822" s="57"/>
      <c r="W2822" s="57"/>
      <c r="X2822" s="57"/>
      <c r="Y2822" s="57"/>
      <c r="Z2822" s="57"/>
      <c r="AA2822" s="57"/>
      <c r="AB2822" s="57"/>
      <c r="AC2822" s="57"/>
      <c r="AD2822" s="57"/>
      <c r="AE2822" s="57"/>
      <c r="AF2822" s="57"/>
    </row>
    <row r="2823" spans="1:32" x14ac:dyDescent="0.2">
      <c r="A2823" s="57"/>
      <c r="B2823" s="57"/>
      <c r="C2823" s="57"/>
      <c r="D2823" s="57"/>
      <c r="E2823" s="57"/>
      <c r="F2823" s="985"/>
      <c r="G2823" s="57"/>
      <c r="H2823" s="57"/>
      <c r="I2823" s="990"/>
      <c r="J2823" s="57"/>
      <c r="K2823" s="57"/>
      <c r="L2823" s="57"/>
      <c r="M2823" s="57"/>
      <c r="N2823" s="57"/>
      <c r="O2823" s="57"/>
      <c r="P2823" s="57"/>
      <c r="Q2823" s="57"/>
      <c r="R2823" s="57"/>
      <c r="S2823" s="57"/>
      <c r="T2823" s="57"/>
      <c r="U2823" s="57"/>
      <c r="V2823" s="57"/>
      <c r="W2823" s="57"/>
      <c r="X2823" s="57"/>
      <c r="Y2823" s="57"/>
      <c r="Z2823" s="57"/>
      <c r="AA2823" s="57"/>
      <c r="AB2823" s="57"/>
      <c r="AC2823" s="57"/>
      <c r="AD2823" s="57"/>
      <c r="AE2823" s="57"/>
      <c r="AF2823" s="57"/>
    </row>
    <row r="2824" spans="1:32" x14ac:dyDescent="0.2">
      <c r="A2824" s="57"/>
      <c r="B2824" s="57"/>
      <c r="C2824" s="57"/>
      <c r="D2824" s="57"/>
      <c r="E2824" s="57"/>
      <c r="F2824" s="985"/>
      <c r="G2824" s="57"/>
      <c r="H2824" s="57"/>
      <c r="I2824" s="990"/>
      <c r="J2824" s="57"/>
      <c r="K2824" s="57"/>
      <c r="L2824" s="57"/>
      <c r="M2824" s="57"/>
      <c r="N2824" s="57"/>
      <c r="O2824" s="57"/>
      <c r="P2824" s="57"/>
      <c r="Q2824" s="57"/>
      <c r="R2824" s="57"/>
      <c r="S2824" s="57"/>
      <c r="T2824" s="57"/>
      <c r="U2824" s="57"/>
      <c r="V2824" s="57"/>
      <c r="W2824" s="57"/>
      <c r="X2824" s="57"/>
      <c r="Y2824" s="57"/>
      <c r="Z2824" s="57"/>
      <c r="AA2824" s="57"/>
      <c r="AB2824" s="57"/>
      <c r="AC2824" s="57"/>
      <c r="AD2824" s="57"/>
      <c r="AE2824" s="57"/>
      <c r="AF2824" s="57"/>
    </row>
    <row r="2825" spans="1:32" x14ac:dyDescent="0.2">
      <c r="A2825" s="57"/>
      <c r="B2825" s="57"/>
      <c r="C2825" s="57"/>
      <c r="D2825" s="57"/>
      <c r="E2825" s="57"/>
      <c r="F2825" s="985"/>
      <c r="G2825" s="57"/>
      <c r="H2825" s="57"/>
      <c r="I2825" s="990"/>
      <c r="J2825" s="57"/>
      <c r="K2825" s="57"/>
      <c r="L2825" s="57"/>
      <c r="M2825" s="57"/>
      <c r="N2825" s="57"/>
      <c r="O2825" s="57"/>
      <c r="P2825" s="57"/>
      <c r="Q2825" s="57"/>
      <c r="R2825" s="57"/>
      <c r="S2825" s="57"/>
      <c r="T2825" s="57"/>
      <c r="U2825" s="57"/>
      <c r="V2825" s="57"/>
      <c r="W2825" s="57"/>
      <c r="X2825" s="57"/>
      <c r="Y2825" s="57"/>
      <c r="Z2825" s="57"/>
      <c r="AA2825" s="57"/>
      <c r="AB2825" s="57"/>
      <c r="AC2825" s="57"/>
      <c r="AD2825" s="57"/>
      <c r="AE2825" s="57"/>
      <c r="AF2825" s="57"/>
    </row>
    <row r="2826" spans="1:32" x14ac:dyDescent="0.2">
      <c r="A2826" s="57"/>
      <c r="B2826" s="57"/>
      <c r="C2826" s="57"/>
      <c r="D2826" s="57"/>
      <c r="E2826" s="57"/>
      <c r="F2826" s="985"/>
      <c r="G2826" s="57"/>
      <c r="H2826" s="57"/>
      <c r="I2826" s="990"/>
      <c r="J2826" s="57"/>
      <c r="K2826" s="57"/>
      <c r="L2826" s="57"/>
      <c r="M2826" s="57"/>
      <c r="N2826" s="57"/>
      <c r="O2826" s="57"/>
      <c r="P2826" s="57"/>
      <c r="Q2826" s="57"/>
      <c r="R2826" s="57"/>
      <c r="S2826" s="57"/>
      <c r="T2826" s="57"/>
      <c r="U2826" s="57"/>
      <c r="V2826" s="57"/>
      <c r="W2826" s="57"/>
      <c r="X2826" s="57"/>
      <c r="Y2826" s="57"/>
      <c r="Z2826" s="57"/>
      <c r="AA2826" s="57"/>
      <c r="AB2826" s="57"/>
      <c r="AC2826" s="57"/>
      <c r="AD2826" s="57"/>
      <c r="AE2826" s="57"/>
      <c r="AF2826" s="57"/>
    </row>
    <row r="2827" spans="1:32" x14ac:dyDescent="0.2">
      <c r="A2827" s="57"/>
      <c r="B2827" s="57"/>
      <c r="C2827" s="57"/>
      <c r="D2827" s="57"/>
      <c r="E2827" s="57"/>
      <c r="F2827" s="985"/>
      <c r="G2827" s="57"/>
      <c r="H2827" s="57"/>
      <c r="I2827" s="990"/>
      <c r="J2827" s="57"/>
      <c r="K2827" s="57"/>
      <c r="L2827" s="57"/>
      <c r="M2827" s="57"/>
      <c r="N2827" s="57"/>
      <c r="O2827" s="57"/>
      <c r="P2827" s="57"/>
      <c r="Q2827" s="57"/>
      <c r="R2827" s="57"/>
      <c r="S2827" s="57"/>
      <c r="T2827" s="57"/>
      <c r="U2827" s="57"/>
      <c r="V2827" s="57"/>
      <c r="W2827" s="57"/>
      <c r="X2827" s="57"/>
      <c r="Y2827" s="57"/>
      <c r="Z2827" s="57"/>
      <c r="AA2827" s="57"/>
      <c r="AB2827" s="57"/>
      <c r="AC2827" s="57"/>
      <c r="AD2827" s="57"/>
      <c r="AE2827" s="57"/>
      <c r="AF2827" s="57"/>
    </row>
    <row r="2828" spans="1:32" x14ac:dyDescent="0.2">
      <c r="A2828" s="57"/>
      <c r="B2828" s="57"/>
      <c r="C2828" s="57"/>
      <c r="D2828" s="57"/>
      <c r="E2828" s="57"/>
      <c r="F2828" s="985"/>
      <c r="G2828" s="57"/>
      <c r="H2828" s="57"/>
      <c r="I2828" s="990"/>
      <c r="J2828" s="57"/>
      <c r="K2828" s="57"/>
      <c r="L2828" s="57"/>
      <c r="M2828" s="57"/>
      <c r="N2828" s="57"/>
      <c r="O2828" s="57"/>
      <c r="P2828" s="57"/>
      <c r="Q2828" s="57"/>
      <c r="R2828" s="57"/>
      <c r="S2828" s="57"/>
      <c r="T2828" s="57"/>
      <c r="U2828" s="57"/>
      <c r="V2828" s="57"/>
      <c r="W2828" s="57"/>
      <c r="X2828" s="57"/>
      <c r="Y2828" s="57"/>
      <c r="Z2828" s="57"/>
      <c r="AA2828" s="57"/>
      <c r="AB2828" s="57"/>
      <c r="AC2828" s="57"/>
      <c r="AD2828" s="57"/>
      <c r="AE2828" s="57"/>
      <c r="AF2828" s="57"/>
    </row>
    <row r="2829" spans="1:32" x14ac:dyDescent="0.2">
      <c r="A2829" s="57"/>
      <c r="B2829" s="57"/>
      <c r="C2829" s="57"/>
      <c r="D2829" s="57"/>
      <c r="E2829" s="57"/>
      <c r="F2829" s="985"/>
      <c r="G2829" s="57"/>
      <c r="H2829" s="57"/>
      <c r="I2829" s="990"/>
      <c r="J2829" s="57"/>
      <c r="K2829" s="57"/>
      <c r="L2829" s="57"/>
      <c r="M2829" s="57"/>
      <c r="N2829" s="57"/>
      <c r="O2829" s="57"/>
      <c r="P2829" s="57"/>
      <c r="Q2829" s="57"/>
      <c r="R2829" s="57"/>
      <c r="S2829" s="57"/>
      <c r="T2829" s="57"/>
      <c r="U2829" s="57"/>
      <c r="V2829" s="57"/>
      <c r="W2829" s="57"/>
      <c r="X2829" s="57"/>
      <c r="Y2829" s="57"/>
      <c r="Z2829" s="57"/>
      <c r="AA2829" s="57"/>
      <c r="AB2829" s="57"/>
      <c r="AC2829" s="57"/>
      <c r="AD2829" s="57"/>
      <c r="AE2829" s="57"/>
      <c r="AF2829" s="57"/>
    </row>
    <row r="2830" spans="1:32" x14ac:dyDescent="0.2">
      <c r="A2830" s="57"/>
      <c r="B2830" s="57"/>
      <c r="C2830" s="57"/>
      <c r="D2830" s="57"/>
      <c r="E2830" s="57"/>
      <c r="F2830" s="985"/>
      <c r="G2830" s="57"/>
      <c r="H2830" s="57"/>
      <c r="I2830" s="990"/>
      <c r="J2830" s="57"/>
      <c r="K2830" s="57"/>
      <c r="L2830" s="57"/>
      <c r="M2830" s="57"/>
      <c r="N2830" s="57"/>
      <c r="O2830" s="57"/>
      <c r="P2830" s="57"/>
      <c r="Q2830" s="57"/>
      <c r="R2830" s="57"/>
      <c r="S2830" s="57"/>
      <c r="T2830" s="57"/>
      <c r="U2830" s="57"/>
      <c r="V2830" s="57"/>
      <c r="W2830" s="57"/>
      <c r="X2830" s="57"/>
      <c r="Y2830" s="57"/>
      <c r="Z2830" s="57"/>
      <c r="AA2830" s="57"/>
      <c r="AB2830" s="57"/>
      <c r="AC2830" s="57"/>
      <c r="AD2830" s="57"/>
      <c r="AE2830" s="57"/>
      <c r="AF2830" s="57"/>
    </row>
    <row r="2831" spans="1:32" x14ac:dyDescent="0.2">
      <c r="A2831" s="57"/>
      <c r="B2831" s="57"/>
      <c r="C2831" s="57"/>
      <c r="D2831" s="57"/>
      <c r="E2831" s="57"/>
      <c r="F2831" s="985"/>
      <c r="G2831" s="57"/>
      <c r="H2831" s="57"/>
      <c r="I2831" s="990"/>
      <c r="J2831" s="57"/>
      <c r="K2831" s="57"/>
      <c r="L2831" s="57"/>
      <c r="M2831" s="57"/>
      <c r="N2831" s="57"/>
      <c r="O2831" s="57"/>
      <c r="P2831" s="57"/>
      <c r="Q2831" s="57"/>
      <c r="R2831" s="57"/>
      <c r="S2831" s="57"/>
      <c r="T2831" s="57"/>
      <c r="U2831" s="57"/>
      <c r="V2831" s="57"/>
      <c r="W2831" s="57"/>
      <c r="X2831" s="57"/>
      <c r="Y2831" s="57"/>
      <c r="Z2831" s="57"/>
      <c r="AA2831" s="57"/>
      <c r="AB2831" s="57"/>
      <c r="AC2831" s="57"/>
      <c r="AD2831" s="57"/>
      <c r="AE2831" s="57"/>
      <c r="AF2831" s="57"/>
    </row>
    <row r="2832" spans="1:32" x14ac:dyDescent="0.2">
      <c r="A2832" s="57"/>
      <c r="B2832" s="57"/>
      <c r="C2832" s="57"/>
      <c r="D2832" s="57"/>
      <c r="E2832" s="57"/>
      <c r="F2832" s="985"/>
      <c r="G2832" s="57"/>
      <c r="H2832" s="57"/>
      <c r="I2832" s="990"/>
      <c r="J2832" s="57"/>
      <c r="K2832" s="57"/>
      <c r="L2832" s="57"/>
      <c r="M2832" s="57"/>
      <c r="N2832" s="57"/>
      <c r="O2832" s="57"/>
      <c r="P2832" s="57"/>
      <c r="Q2832" s="57"/>
      <c r="R2832" s="57"/>
      <c r="S2832" s="57"/>
      <c r="T2832" s="57"/>
      <c r="U2832" s="57"/>
      <c r="V2832" s="57"/>
      <c r="W2832" s="57"/>
      <c r="X2832" s="57"/>
      <c r="Y2832" s="57"/>
      <c r="Z2832" s="57"/>
      <c r="AA2832" s="57"/>
      <c r="AB2832" s="57"/>
      <c r="AC2832" s="57"/>
      <c r="AD2832" s="57"/>
      <c r="AE2832" s="57"/>
      <c r="AF2832" s="57"/>
    </row>
    <row r="2833" spans="1:32" x14ac:dyDescent="0.2">
      <c r="A2833" s="57"/>
      <c r="B2833" s="57"/>
      <c r="C2833" s="57"/>
      <c r="D2833" s="57"/>
      <c r="E2833" s="57"/>
      <c r="F2833" s="985"/>
      <c r="G2833" s="57"/>
      <c r="H2833" s="57"/>
      <c r="I2833" s="990"/>
      <c r="J2833" s="57"/>
      <c r="K2833" s="57"/>
      <c r="L2833" s="57"/>
      <c r="M2833" s="57"/>
      <c r="N2833" s="57"/>
      <c r="O2833" s="57"/>
      <c r="P2833" s="57"/>
      <c r="Q2833" s="57"/>
      <c r="R2833" s="57"/>
      <c r="S2833" s="57"/>
      <c r="T2833" s="57"/>
      <c r="U2833" s="57"/>
      <c r="V2833" s="57"/>
      <c r="W2833" s="57"/>
      <c r="X2833" s="57"/>
      <c r="Y2833" s="57"/>
      <c r="Z2833" s="57"/>
      <c r="AA2833" s="57"/>
      <c r="AB2833" s="57"/>
      <c r="AC2833" s="57"/>
      <c r="AD2833" s="57"/>
      <c r="AE2833" s="57"/>
      <c r="AF2833" s="57"/>
    </row>
    <row r="2834" spans="1:32" x14ac:dyDescent="0.2">
      <c r="A2834" s="57"/>
      <c r="B2834" s="57"/>
      <c r="C2834" s="57"/>
      <c r="D2834" s="57"/>
      <c r="E2834" s="57"/>
      <c r="F2834" s="985"/>
      <c r="G2834" s="57"/>
      <c r="H2834" s="57"/>
      <c r="I2834" s="990"/>
      <c r="J2834" s="57"/>
      <c r="K2834" s="57"/>
      <c r="L2834" s="57"/>
      <c r="M2834" s="57"/>
      <c r="N2834" s="57"/>
      <c r="O2834" s="57"/>
      <c r="P2834" s="57"/>
      <c r="Q2834" s="57"/>
      <c r="R2834" s="57"/>
      <c r="S2834" s="57"/>
      <c r="T2834" s="57"/>
      <c r="U2834" s="57"/>
      <c r="V2834" s="57"/>
      <c r="W2834" s="57"/>
      <c r="X2834" s="57"/>
      <c r="Y2834" s="57"/>
      <c r="Z2834" s="57"/>
      <c r="AA2834" s="57"/>
      <c r="AB2834" s="57"/>
      <c r="AC2834" s="57"/>
      <c r="AD2834" s="57"/>
      <c r="AE2834" s="57"/>
      <c r="AF2834" s="57"/>
    </row>
    <row r="2835" spans="1:32" x14ac:dyDescent="0.2">
      <c r="A2835" s="57"/>
      <c r="B2835" s="57"/>
      <c r="C2835" s="57"/>
      <c r="D2835" s="57"/>
      <c r="E2835" s="57"/>
      <c r="F2835" s="985"/>
      <c r="G2835" s="57"/>
      <c r="H2835" s="57"/>
      <c r="I2835" s="990"/>
      <c r="J2835" s="57"/>
      <c r="K2835" s="57"/>
      <c r="L2835" s="57"/>
      <c r="M2835" s="57"/>
      <c r="N2835" s="57"/>
      <c r="O2835" s="57"/>
      <c r="P2835" s="57"/>
      <c r="Q2835" s="57"/>
      <c r="R2835" s="57"/>
      <c r="S2835" s="57"/>
      <c r="T2835" s="57"/>
      <c r="U2835" s="57"/>
      <c r="V2835" s="57"/>
      <c r="W2835" s="57"/>
      <c r="X2835" s="57"/>
      <c r="Y2835" s="57"/>
      <c r="Z2835" s="57"/>
      <c r="AA2835" s="57"/>
      <c r="AB2835" s="57"/>
      <c r="AC2835" s="57"/>
      <c r="AD2835" s="57"/>
      <c r="AE2835" s="57"/>
      <c r="AF2835" s="57"/>
    </row>
    <row r="2836" spans="1:32" x14ac:dyDescent="0.2">
      <c r="A2836" s="57"/>
      <c r="B2836" s="57"/>
      <c r="C2836" s="57"/>
      <c r="D2836" s="57"/>
      <c r="E2836" s="57"/>
      <c r="F2836" s="985"/>
      <c r="G2836" s="57"/>
      <c r="H2836" s="57"/>
      <c r="I2836" s="990"/>
      <c r="J2836" s="57"/>
      <c r="K2836" s="57"/>
      <c r="L2836" s="57"/>
      <c r="M2836" s="57"/>
      <c r="N2836" s="57"/>
      <c r="O2836" s="57"/>
      <c r="P2836" s="57"/>
      <c r="Q2836" s="57"/>
      <c r="R2836" s="57"/>
      <c r="S2836" s="57"/>
      <c r="T2836" s="57"/>
      <c r="U2836" s="57"/>
      <c r="V2836" s="57"/>
      <c r="W2836" s="57"/>
      <c r="X2836" s="57"/>
      <c r="Y2836" s="57"/>
      <c r="Z2836" s="57"/>
      <c r="AA2836" s="57"/>
      <c r="AB2836" s="57"/>
      <c r="AC2836" s="57"/>
      <c r="AD2836" s="57"/>
      <c r="AE2836" s="57"/>
      <c r="AF2836" s="57"/>
    </row>
    <row r="2837" spans="1:32" x14ac:dyDescent="0.2">
      <c r="A2837" s="57"/>
      <c r="B2837" s="57"/>
      <c r="C2837" s="57"/>
      <c r="D2837" s="57"/>
      <c r="E2837" s="57"/>
      <c r="F2837" s="985"/>
      <c r="G2837" s="57"/>
      <c r="H2837" s="57"/>
      <c r="I2837" s="990"/>
      <c r="J2837" s="57"/>
      <c r="K2837" s="57"/>
      <c r="L2837" s="57"/>
      <c r="M2837" s="57"/>
      <c r="N2837" s="57"/>
      <c r="O2837" s="57"/>
      <c r="P2837" s="57"/>
      <c r="Q2837" s="57"/>
      <c r="R2837" s="57"/>
      <c r="S2837" s="57"/>
      <c r="T2837" s="57"/>
      <c r="U2837" s="57"/>
      <c r="V2837" s="57"/>
      <c r="W2837" s="57"/>
      <c r="X2837" s="57"/>
      <c r="Y2837" s="57"/>
      <c r="Z2837" s="57"/>
      <c r="AA2837" s="57"/>
      <c r="AB2837" s="57"/>
      <c r="AC2837" s="57"/>
      <c r="AD2837" s="57"/>
      <c r="AE2837" s="57"/>
      <c r="AF2837" s="57"/>
    </row>
    <row r="2838" spans="1:32" x14ac:dyDescent="0.2">
      <c r="A2838" s="57"/>
      <c r="B2838" s="57"/>
      <c r="C2838" s="57"/>
      <c r="D2838" s="57"/>
      <c r="E2838" s="57"/>
      <c r="F2838" s="985"/>
      <c r="G2838" s="57"/>
      <c r="H2838" s="57"/>
      <c r="I2838" s="990"/>
      <c r="J2838" s="57"/>
      <c r="K2838" s="57"/>
      <c r="L2838" s="57"/>
      <c r="M2838" s="57"/>
      <c r="N2838" s="57"/>
      <c r="O2838" s="57"/>
      <c r="P2838" s="57"/>
      <c r="Q2838" s="57"/>
      <c r="R2838" s="57"/>
      <c r="S2838" s="57"/>
      <c r="T2838" s="57"/>
      <c r="U2838" s="57"/>
      <c r="V2838" s="57"/>
      <c r="W2838" s="57"/>
      <c r="X2838" s="57"/>
      <c r="Y2838" s="57"/>
      <c r="Z2838" s="57"/>
      <c r="AA2838" s="57"/>
      <c r="AB2838" s="57"/>
      <c r="AC2838" s="57"/>
      <c r="AD2838" s="57"/>
      <c r="AE2838" s="57"/>
      <c r="AF2838" s="57"/>
    </row>
    <row r="2839" spans="1:32" x14ac:dyDescent="0.2">
      <c r="A2839" s="57"/>
      <c r="B2839" s="57"/>
      <c r="C2839" s="57"/>
      <c r="D2839" s="57"/>
      <c r="E2839" s="57"/>
      <c r="F2839" s="985"/>
      <c r="G2839" s="57"/>
      <c r="H2839" s="57"/>
      <c r="I2839" s="990"/>
      <c r="J2839" s="57"/>
      <c r="K2839" s="57"/>
      <c r="L2839" s="57"/>
      <c r="M2839" s="57"/>
      <c r="N2839" s="57"/>
      <c r="O2839" s="57"/>
      <c r="P2839" s="57"/>
      <c r="Q2839" s="57"/>
      <c r="R2839" s="57"/>
      <c r="S2839" s="57"/>
      <c r="T2839" s="57"/>
      <c r="U2839" s="57"/>
      <c r="V2839" s="57"/>
      <c r="W2839" s="57"/>
      <c r="X2839" s="57"/>
      <c r="Y2839" s="57"/>
      <c r="Z2839" s="57"/>
      <c r="AA2839" s="57"/>
      <c r="AB2839" s="57"/>
      <c r="AC2839" s="57"/>
      <c r="AD2839" s="57"/>
      <c r="AE2839" s="57"/>
      <c r="AF2839" s="57"/>
    </row>
    <row r="2840" spans="1:32" x14ac:dyDescent="0.2">
      <c r="A2840" s="57"/>
      <c r="B2840" s="57"/>
      <c r="C2840" s="57"/>
      <c r="D2840" s="57"/>
      <c r="E2840" s="57"/>
      <c r="F2840" s="985"/>
      <c r="G2840" s="57"/>
      <c r="H2840" s="57"/>
      <c r="I2840" s="990"/>
      <c r="J2840" s="57"/>
      <c r="K2840" s="57"/>
      <c r="L2840" s="57"/>
      <c r="M2840" s="57"/>
      <c r="N2840" s="57"/>
      <c r="O2840" s="57"/>
      <c r="P2840" s="57"/>
      <c r="Q2840" s="57"/>
      <c r="R2840" s="57"/>
      <c r="S2840" s="57"/>
      <c r="T2840" s="57"/>
      <c r="U2840" s="57"/>
      <c r="V2840" s="57"/>
      <c r="W2840" s="57"/>
      <c r="X2840" s="57"/>
      <c r="Y2840" s="57"/>
      <c r="Z2840" s="57"/>
      <c r="AA2840" s="57"/>
      <c r="AB2840" s="57"/>
      <c r="AC2840" s="57"/>
      <c r="AD2840" s="57"/>
      <c r="AE2840" s="57"/>
      <c r="AF2840" s="57"/>
    </row>
    <row r="2841" spans="1:32" x14ac:dyDescent="0.2">
      <c r="A2841" s="57"/>
      <c r="B2841" s="57"/>
      <c r="C2841" s="57"/>
      <c r="D2841" s="57"/>
      <c r="E2841" s="57"/>
      <c r="F2841" s="985"/>
      <c r="G2841" s="57"/>
      <c r="H2841" s="57"/>
      <c r="I2841" s="990"/>
      <c r="J2841" s="57"/>
      <c r="K2841" s="57"/>
      <c r="L2841" s="57"/>
      <c r="M2841" s="57"/>
      <c r="N2841" s="57"/>
      <c r="O2841" s="57"/>
      <c r="P2841" s="57"/>
      <c r="Q2841" s="57"/>
      <c r="R2841" s="57"/>
      <c r="S2841" s="57"/>
      <c r="T2841" s="57"/>
      <c r="U2841" s="57"/>
      <c r="V2841" s="57"/>
      <c r="W2841" s="57"/>
      <c r="X2841" s="57"/>
      <c r="Y2841" s="57"/>
      <c r="Z2841" s="57"/>
      <c r="AA2841" s="57"/>
      <c r="AB2841" s="57"/>
      <c r="AC2841" s="57"/>
      <c r="AD2841" s="57"/>
      <c r="AE2841" s="57"/>
      <c r="AF2841" s="57"/>
    </row>
    <row r="2842" spans="1:32" x14ac:dyDescent="0.2">
      <c r="A2842" s="57"/>
      <c r="B2842" s="57"/>
      <c r="C2842" s="57"/>
      <c r="D2842" s="57"/>
      <c r="E2842" s="57"/>
      <c r="F2842" s="985"/>
      <c r="G2842" s="57"/>
      <c r="H2842" s="57"/>
      <c r="I2842" s="990"/>
      <c r="J2842" s="57"/>
      <c r="K2842" s="57"/>
      <c r="L2842" s="57"/>
      <c r="M2842" s="57"/>
      <c r="N2842" s="57"/>
      <c r="O2842" s="57"/>
      <c r="P2842" s="57"/>
      <c r="Q2842" s="57"/>
      <c r="R2842" s="57"/>
      <c r="S2842" s="57"/>
      <c r="T2842" s="57"/>
      <c r="U2842" s="57"/>
      <c r="V2842" s="57"/>
      <c r="W2842" s="57"/>
      <c r="X2842" s="57"/>
      <c r="Y2842" s="57"/>
      <c r="Z2842" s="57"/>
      <c r="AA2842" s="57"/>
      <c r="AB2842" s="57"/>
      <c r="AC2842" s="57"/>
      <c r="AD2842" s="57"/>
      <c r="AE2842" s="57"/>
      <c r="AF2842" s="57"/>
    </row>
    <row r="2843" spans="1:32" x14ac:dyDescent="0.2">
      <c r="A2843" s="57"/>
      <c r="B2843" s="57"/>
      <c r="C2843" s="57"/>
      <c r="D2843" s="57"/>
      <c r="E2843" s="57"/>
      <c r="F2843" s="985"/>
      <c r="G2843" s="57"/>
      <c r="H2843" s="57"/>
      <c r="I2843" s="990"/>
      <c r="J2843" s="57"/>
      <c r="K2843" s="57"/>
      <c r="L2843" s="57"/>
      <c r="M2843" s="57"/>
      <c r="N2843" s="57"/>
      <c r="O2843" s="57"/>
      <c r="P2843" s="57"/>
      <c r="Q2843" s="57"/>
      <c r="R2843" s="57"/>
      <c r="S2843" s="57"/>
      <c r="T2843" s="57"/>
      <c r="U2843" s="57"/>
      <c r="V2843" s="57"/>
      <c r="W2843" s="57"/>
      <c r="X2843" s="57"/>
      <c r="Y2843" s="57"/>
      <c r="Z2843" s="57"/>
      <c r="AA2843" s="57"/>
      <c r="AB2843" s="57"/>
      <c r="AC2843" s="57"/>
      <c r="AD2843" s="57"/>
      <c r="AE2843" s="57"/>
      <c r="AF2843" s="57"/>
    </row>
    <row r="2844" spans="1:32" x14ac:dyDescent="0.2">
      <c r="A2844" s="57"/>
      <c r="B2844" s="57"/>
      <c r="C2844" s="57"/>
      <c r="D2844" s="57"/>
      <c r="E2844" s="57"/>
      <c r="F2844" s="985"/>
      <c r="G2844" s="57"/>
      <c r="H2844" s="57"/>
      <c r="I2844" s="990"/>
      <c r="J2844" s="57"/>
      <c r="K2844" s="57"/>
      <c r="L2844" s="57"/>
      <c r="M2844" s="57"/>
      <c r="N2844" s="57"/>
      <c r="O2844" s="57"/>
      <c r="P2844" s="57"/>
      <c r="Q2844" s="57"/>
      <c r="R2844" s="57"/>
      <c r="S2844" s="57"/>
      <c r="T2844" s="57"/>
      <c r="U2844" s="57"/>
      <c r="V2844" s="57"/>
      <c r="W2844" s="57"/>
      <c r="X2844" s="57"/>
      <c r="Y2844" s="57"/>
      <c r="Z2844" s="57"/>
      <c r="AA2844" s="57"/>
      <c r="AB2844" s="57"/>
      <c r="AC2844" s="57"/>
      <c r="AD2844" s="57"/>
      <c r="AE2844" s="57"/>
      <c r="AF2844" s="57"/>
    </row>
    <row r="2845" spans="1:32" x14ac:dyDescent="0.2">
      <c r="A2845" s="57"/>
      <c r="B2845" s="57"/>
      <c r="C2845" s="57"/>
      <c r="D2845" s="57"/>
      <c r="E2845" s="57"/>
      <c r="F2845" s="985"/>
      <c r="G2845" s="57"/>
      <c r="H2845" s="57"/>
      <c r="I2845" s="990"/>
      <c r="J2845" s="57"/>
      <c r="K2845" s="57"/>
      <c r="L2845" s="57"/>
      <c r="M2845" s="57"/>
      <c r="N2845" s="57"/>
      <c r="O2845" s="57"/>
      <c r="P2845" s="57"/>
      <c r="Q2845" s="57"/>
      <c r="R2845" s="57"/>
      <c r="S2845" s="57"/>
      <c r="T2845" s="57"/>
      <c r="U2845" s="57"/>
      <c r="V2845" s="57"/>
      <c r="W2845" s="57"/>
      <c r="X2845" s="57"/>
      <c r="Y2845" s="57"/>
      <c r="Z2845" s="57"/>
      <c r="AA2845" s="57"/>
      <c r="AB2845" s="57"/>
      <c r="AC2845" s="57"/>
      <c r="AD2845" s="57"/>
      <c r="AE2845" s="57"/>
      <c r="AF2845" s="57"/>
    </row>
    <row r="2846" spans="1:32" x14ac:dyDescent="0.2">
      <c r="A2846" s="57"/>
      <c r="B2846" s="57"/>
      <c r="C2846" s="57"/>
      <c r="D2846" s="57"/>
      <c r="E2846" s="57"/>
      <c r="F2846" s="985"/>
      <c r="G2846" s="57"/>
      <c r="H2846" s="57"/>
      <c r="I2846" s="990"/>
      <c r="J2846" s="57"/>
      <c r="K2846" s="57"/>
      <c r="L2846" s="57"/>
      <c r="M2846" s="57"/>
      <c r="N2846" s="57"/>
      <c r="O2846" s="57"/>
      <c r="P2846" s="57"/>
      <c r="Q2846" s="57"/>
      <c r="R2846" s="57"/>
      <c r="S2846" s="57"/>
      <c r="T2846" s="57"/>
      <c r="U2846" s="57"/>
      <c r="V2846" s="57"/>
      <c r="W2846" s="57"/>
      <c r="X2846" s="57"/>
      <c r="Y2846" s="57"/>
      <c r="Z2846" s="57"/>
      <c r="AA2846" s="57"/>
      <c r="AB2846" s="57"/>
      <c r="AC2846" s="57"/>
      <c r="AD2846" s="57"/>
      <c r="AE2846" s="57"/>
      <c r="AF2846" s="57"/>
    </row>
    <row r="2847" spans="1:32" x14ac:dyDescent="0.2">
      <c r="A2847" s="57"/>
      <c r="B2847" s="57"/>
      <c r="C2847" s="57"/>
      <c r="D2847" s="57"/>
      <c r="E2847" s="57"/>
      <c r="F2847" s="985"/>
      <c r="G2847" s="57"/>
      <c r="H2847" s="57"/>
      <c r="I2847" s="990"/>
      <c r="J2847" s="57"/>
      <c r="K2847" s="57"/>
      <c r="L2847" s="57"/>
      <c r="M2847" s="57"/>
      <c r="N2847" s="57"/>
      <c r="O2847" s="57"/>
      <c r="P2847" s="57"/>
      <c r="Q2847" s="57"/>
      <c r="R2847" s="57"/>
      <c r="S2847" s="57"/>
      <c r="T2847" s="57"/>
      <c r="U2847" s="57"/>
      <c r="V2847" s="57"/>
      <c r="W2847" s="57"/>
      <c r="X2847" s="57"/>
      <c r="Y2847" s="57"/>
      <c r="Z2847" s="57"/>
      <c r="AA2847" s="57"/>
      <c r="AB2847" s="57"/>
      <c r="AC2847" s="57"/>
      <c r="AD2847" s="57"/>
      <c r="AE2847" s="57"/>
      <c r="AF2847" s="57"/>
    </row>
    <row r="2848" spans="1:32" x14ac:dyDescent="0.2">
      <c r="A2848" s="57"/>
      <c r="B2848" s="57"/>
      <c r="C2848" s="57"/>
      <c r="D2848" s="57"/>
      <c r="E2848" s="57"/>
      <c r="F2848" s="985"/>
      <c r="G2848" s="57"/>
      <c r="H2848" s="57"/>
      <c r="I2848" s="990"/>
      <c r="J2848" s="57"/>
      <c r="K2848" s="57"/>
      <c r="L2848" s="57"/>
      <c r="M2848" s="57"/>
      <c r="N2848" s="57"/>
      <c r="O2848" s="57"/>
      <c r="P2848" s="57"/>
      <c r="Q2848" s="57"/>
      <c r="R2848" s="57"/>
      <c r="S2848" s="57"/>
      <c r="T2848" s="57"/>
      <c r="U2848" s="57"/>
      <c r="V2848" s="57"/>
      <c r="W2848" s="57"/>
      <c r="X2848" s="57"/>
      <c r="Y2848" s="57"/>
      <c r="Z2848" s="57"/>
      <c r="AA2848" s="57"/>
      <c r="AB2848" s="57"/>
      <c r="AC2848" s="57"/>
      <c r="AD2848" s="57"/>
      <c r="AE2848" s="57"/>
      <c r="AF2848" s="57"/>
    </row>
    <row r="2849" spans="1:32" x14ac:dyDescent="0.2">
      <c r="A2849" s="57"/>
      <c r="B2849" s="57"/>
      <c r="C2849" s="57"/>
      <c r="D2849" s="57"/>
      <c r="E2849" s="57"/>
      <c r="F2849" s="985"/>
      <c r="G2849" s="57"/>
      <c r="H2849" s="57"/>
      <c r="I2849" s="990"/>
      <c r="J2849" s="57"/>
      <c r="K2849" s="57"/>
      <c r="L2849" s="57"/>
      <c r="M2849" s="57"/>
      <c r="N2849" s="57"/>
      <c r="O2849" s="57"/>
      <c r="P2849" s="57"/>
      <c r="Q2849" s="57"/>
      <c r="R2849" s="57"/>
      <c r="S2849" s="57"/>
      <c r="T2849" s="57"/>
      <c r="U2849" s="57"/>
      <c r="V2849" s="57"/>
      <c r="W2849" s="57"/>
      <c r="X2849" s="57"/>
      <c r="Y2849" s="57"/>
      <c r="Z2849" s="57"/>
      <c r="AA2849" s="57"/>
      <c r="AB2849" s="57"/>
      <c r="AC2849" s="57"/>
      <c r="AD2849" s="57"/>
      <c r="AE2849" s="57"/>
      <c r="AF2849" s="57"/>
    </row>
    <row r="2850" spans="1:32" x14ac:dyDescent="0.2">
      <c r="A2850" s="57"/>
      <c r="B2850" s="57"/>
      <c r="C2850" s="57"/>
      <c r="D2850" s="57"/>
      <c r="E2850" s="57"/>
      <c r="F2850" s="985"/>
      <c r="G2850" s="57"/>
      <c r="H2850" s="57"/>
      <c r="I2850" s="990"/>
      <c r="J2850" s="57"/>
      <c r="K2850" s="57"/>
      <c r="L2850" s="57"/>
      <c r="M2850" s="57"/>
      <c r="N2850" s="57"/>
      <c r="O2850" s="57"/>
      <c r="P2850" s="57"/>
      <c r="Q2850" s="57"/>
      <c r="R2850" s="57"/>
      <c r="S2850" s="57"/>
      <c r="T2850" s="57"/>
      <c r="U2850" s="57"/>
      <c r="V2850" s="57"/>
      <c r="W2850" s="57"/>
      <c r="X2850" s="57"/>
      <c r="Y2850" s="57"/>
      <c r="Z2850" s="57"/>
      <c r="AA2850" s="57"/>
      <c r="AB2850" s="57"/>
      <c r="AC2850" s="57"/>
      <c r="AD2850" s="57"/>
      <c r="AE2850" s="57"/>
      <c r="AF2850" s="57"/>
    </row>
    <row r="2851" spans="1:32" x14ac:dyDescent="0.2">
      <c r="A2851" s="57"/>
      <c r="B2851" s="57"/>
      <c r="C2851" s="57"/>
      <c r="D2851" s="57"/>
      <c r="E2851" s="57"/>
      <c r="F2851" s="985"/>
      <c r="G2851" s="57"/>
      <c r="H2851" s="57"/>
      <c r="I2851" s="990"/>
      <c r="J2851" s="57"/>
      <c r="K2851" s="57"/>
      <c r="L2851" s="57"/>
      <c r="M2851" s="57"/>
      <c r="N2851" s="57"/>
      <c r="O2851" s="57"/>
      <c r="P2851" s="57"/>
      <c r="Q2851" s="57"/>
      <c r="R2851" s="57"/>
      <c r="S2851" s="57"/>
      <c r="T2851" s="57"/>
      <c r="U2851" s="57"/>
      <c r="V2851" s="57"/>
      <c r="W2851" s="57"/>
      <c r="X2851" s="57"/>
      <c r="Y2851" s="57"/>
      <c r="Z2851" s="57"/>
      <c r="AA2851" s="57"/>
      <c r="AB2851" s="57"/>
      <c r="AC2851" s="57"/>
      <c r="AD2851" s="57"/>
      <c r="AE2851" s="57"/>
      <c r="AF2851" s="57"/>
    </row>
    <row r="2852" spans="1:32" x14ac:dyDescent="0.2">
      <c r="A2852" s="57"/>
      <c r="B2852" s="57"/>
      <c r="C2852" s="57"/>
      <c r="D2852" s="57"/>
      <c r="E2852" s="57"/>
      <c r="F2852" s="985"/>
      <c r="G2852" s="57"/>
      <c r="H2852" s="57"/>
      <c r="I2852" s="990"/>
      <c r="J2852" s="57"/>
      <c r="K2852" s="57"/>
      <c r="L2852" s="57"/>
      <c r="M2852" s="57"/>
      <c r="N2852" s="57"/>
      <c r="O2852" s="57"/>
      <c r="P2852" s="57"/>
      <c r="Q2852" s="57"/>
      <c r="R2852" s="57"/>
      <c r="S2852" s="57"/>
      <c r="T2852" s="57"/>
      <c r="U2852" s="57"/>
      <c r="V2852" s="57"/>
      <c r="W2852" s="57"/>
      <c r="X2852" s="57"/>
      <c r="Y2852" s="57"/>
      <c r="Z2852" s="57"/>
      <c r="AA2852" s="57"/>
      <c r="AB2852" s="57"/>
      <c r="AC2852" s="57"/>
      <c r="AD2852" s="57"/>
      <c r="AE2852" s="57"/>
      <c r="AF2852" s="57"/>
    </row>
    <row r="2853" spans="1:32" x14ac:dyDescent="0.2">
      <c r="A2853" s="57"/>
      <c r="B2853" s="57"/>
      <c r="C2853" s="57"/>
      <c r="D2853" s="57"/>
      <c r="E2853" s="57"/>
      <c r="F2853" s="985"/>
      <c r="G2853" s="57"/>
      <c r="H2853" s="57"/>
      <c r="I2853" s="990"/>
      <c r="J2853" s="57"/>
      <c r="K2853" s="57"/>
      <c r="L2853" s="57"/>
      <c r="M2853" s="57"/>
      <c r="N2853" s="57"/>
      <c r="O2853" s="57"/>
      <c r="P2853" s="57"/>
      <c r="Q2853" s="57"/>
      <c r="R2853" s="57"/>
      <c r="S2853" s="57"/>
      <c r="T2853" s="57"/>
      <c r="U2853" s="57"/>
      <c r="V2853" s="57"/>
      <c r="W2853" s="57"/>
      <c r="X2853" s="57"/>
      <c r="Y2853" s="57"/>
      <c r="Z2853" s="57"/>
      <c r="AA2853" s="57"/>
      <c r="AB2853" s="57"/>
      <c r="AC2853" s="57"/>
      <c r="AD2853" s="57"/>
      <c r="AE2853" s="57"/>
      <c r="AF2853" s="57"/>
    </row>
    <row r="2854" spans="1:32" x14ac:dyDescent="0.2">
      <c r="A2854" s="57"/>
      <c r="B2854" s="57"/>
      <c r="C2854" s="57"/>
      <c r="D2854" s="57"/>
      <c r="E2854" s="57"/>
      <c r="F2854" s="985"/>
      <c r="G2854" s="57"/>
      <c r="H2854" s="57"/>
      <c r="I2854" s="990"/>
      <c r="J2854" s="57"/>
      <c r="K2854" s="57"/>
      <c r="L2854" s="57"/>
      <c r="M2854" s="57"/>
      <c r="N2854" s="57"/>
      <c r="O2854" s="57"/>
      <c r="P2854" s="57"/>
      <c r="Q2854" s="57"/>
      <c r="R2854" s="57"/>
      <c r="S2854" s="57"/>
      <c r="T2854" s="57"/>
      <c r="U2854" s="57"/>
      <c r="V2854" s="57"/>
      <c r="W2854" s="57"/>
      <c r="X2854" s="57"/>
      <c r="Y2854" s="57"/>
      <c r="Z2854" s="57"/>
      <c r="AA2854" s="57"/>
      <c r="AB2854" s="57"/>
      <c r="AC2854" s="57"/>
      <c r="AD2854" s="57"/>
      <c r="AE2854" s="57"/>
      <c r="AF2854" s="57"/>
    </row>
    <row r="2855" spans="1:32" x14ac:dyDescent="0.2">
      <c r="A2855" s="57"/>
      <c r="B2855" s="57"/>
      <c r="C2855" s="57"/>
      <c r="D2855" s="57"/>
      <c r="E2855" s="57"/>
      <c r="F2855" s="985"/>
      <c r="G2855" s="57"/>
      <c r="H2855" s="57"/>
      <c r="I2855" s="990"/>
      <c r="J2855" s="57"/>
      <c r="K2855" s="57"/>
      <c r="L2855" s="57"/>
      <c r="M2855" s="57"/>
      <c r="N2855" s="57"/>
      <c r="O2855" s="57"/>
      <c r="P2855" s="57"/>
      <c r="Q2855" s="57"/>
      <c r="R2855" s="57"/>
      <c r="S2855" s="57"/>
      <c r="T2855" s="57"/>
      <c r="U2855" s="57"/>
      <c r="V2855" s="57"/>
      <c r="W2855" s="57"/>
      <c r="X2855" s="57"/>
      <c r="Y2855" s="57"/>
      <c r="Z2855" s="57"/>
      <c r="AA2855" s="57"/>
      <c r="AB2855" s="57"/>
      <c r="AC2855" s="57"/>
      <c r="AD2855" s="57"/>
      <c r="AE2855" s="57"/>
      <c r="AF2855" s="57"/>
    </row>
    <row r="2856" spans="1:32" x14ac:dyDescent="0.2">
      <c r="A2856" s="57"/>
      <c r="B2856" s="57"/>
      <c r="C2856" s="57"/>
      <c r="D2856" s="57"/>
      <c r="E2856" s="57"/>
      <c r="F2856" s="985"/>
      <c r="G2856" s="57"/>
      <c r="H2856" s="57"/>
      <c r="I2856" s="990"/>
      <c r="J2856" s="57"/>
      <c r="K2856" s="57"/>
      <c r="L2856" s="57"/>
      <c r="M2856" s="57"/>
      <c r="N2856" s="57"/>
      <c r="O2856" s="57"/>
      <c r="P2856" s="57"/>
      <c r="Q2856" s="57"/>
      <c r="R2856" s="57"/>
      <c r="S2856" s="57"/>
      <c r="T2856" s="57"/>
      <c r="U2856" s="57"/>
      <c r="V2856" s="57"/>
      <c r="W2856" s="57"/>
      <c r="X2856" s="57"/>
      <c r="Y2856" s="57"/>
      <c r="Z2856" s="57"/>
      <c r="AA2856" s="57"/>
      <c r="AB2856" s="57"/>
      <c r="AC2856" s="57"/>
      <c r="AD2856" s="57"/>
      <c r="AE2856" s="57"/>
      <c r="AF2856" s="57"/>
    </row>
    <row r="2857" spans="1:32" x14ac:dyDescent="0.2">
      <c r="A2857" s="57"/>
      <c r="B2857" s="57"/>
      <c r="C2857" s="57"/>
      <c r="D2857" s="57"/>
      <c r="E2857" s="57"/>
      <c r="F2857" s="985"/>
      <c r="G2857" s="57"/>
      <c r="H2857" s="57"/>
      <c r="I2857" s="990"/>
      <c r="J2857" s="57"/>
      <c r="K2857" s="57"/>
      <c r="L2857" s="57"/>
      <c r="M2857" s="57"/>
      <c r="N2857" s="57"/>
      <c r="O2857" s="57"/>
      <c r="P2857" s="57"/>
      <c r="Q2857" s="57"/>
      <c r="R2857" s="57"/>
      <c r="S2857" s="57"/>
      <c r="T2857" s="57"/>
      <c r="U2857" s="57"/>
      <c r="V2857" s="57"/>
      <c r="W2857" s="57"/>
      <c r="X2857" s="57"/>
      <c r="Y2857" s="57"/>
      <c r="Z2857" s="57"/>
      <c r="AA2857" s="57"/>
      <c r="AB2857" s="57"/>
      <c r="AC2857" s="57"/>
      <c r="AD2857" s="57"/>
      <c r="AE2857" s="57"/>
      <c r="AF2857" s="57"/>
    </row>
    <row r="2858" spans="1:32" x14ac:dyDescent="0.2">
      <c r="A2858" s="57"/>
      <c r="B2858" s="57"/>
      <c r="C2858" s="57"/>
      <c r="D2858" s="57"/>
      <c r="E2858" s="57"/>
      <c r="F2858" s="985"/>
      <c r="G2858" s="57"/>
      <c r="H2858" s="57"/>
      <c r="I2858" s="990"/>
      <c r="J2858" s="57"/>
      <c r="K2858" s="57"/>
      <c r="L2858" s="57"/>
      <c r="M2858" s="57"/>
      <c r="N2858" s="57"/>
      <c r="O2858" s="57"/>
      <c r="P2858" s="57"/>
      <c r="Q2858" s="57"/>
      <c r="R2858" s="57"/>
      <c r="S2858" s="57"/>
      <c r="T2858" s="57"/>
      <c r="U2858" s="57"/>
      <c r="V2858" s="57"/>
      <c r="W2858" s="57"/>
      <c r="X2858" s="57"/>
      <c r="Y2858" s="57"/>
      <c r="Z2858" s="57"/>
      <c r="AA2858" s="57"/>
      <c r="AB2858" s="57"/>
      <c r="AC2858" s="57"/>
      <c r="AD2858" s="57"/>
      <c r="AE2858" s="57"/>
      <c r="AF2858" s="57"/>
    </row>
    <row r="2859" spans="1:32" x14ac:dyDescent="0.2">
      <c r="A2859" s="57"/>
      <c r="B2859" s="57"/>
      <c r="C2859" s="57"/>
      <c r="D2859" s="57"/>
      <c r="E2859" s="57"/>
      <c r="F2859" s="985"/>
      <c r="G2859" s="57"/>
      <c r="H2859" s="57"/>
      <c r="I2859" s="990"/>
      <c r="J2859" s="57"/>
      <c r="K2859" s="57"/>
      <c r="L2859" s="57"/>
      <c r="M2859" s="57"/>
      <c r="N2859" s="57"/>
      <c r="O2859" s="57"/>
      <c r="P2859" s="57"/>
      <c r="Q2859" s="57"/>
      <c r="R2859" s="57"/>
      <c r="S2859" s="57"/>
      <c r="T2859" s="57"/>
      <c r="U2859" s="57"/>
      <c r="V2859" s="57"/>
      <c r="W2859" s="57"/>
      <c r="X2859" s="57"/>
      <c r="Y2859" s="57"/>
      <c r="Z2859" s="57"/>
      <c r="AA2859" s="57"/>
      <c r="AB2859" s="57"/>
      <c r="AC2859" s="57"/>
      <c r="AD2859" s="57"/>
      <c r="AE2859" s="57"/>
      <c r="AF2859" s="57"/>
    </row>
    <row r="2860" spans="1:32" x14ac:dyDescent="0.2">
      <c r="A2860" s="57"/>
      <c r="B2860" s="57"/>
      <c r="C2860" s="57"/>
      <c r="D2860" s="57"/>
      <c r="E2860" s="57"/>
      <c r="F2860" s="985"/>
      <c r="G2860" s="57"/>
      <c r="H2860" s="57"/>
      <c r="I2860" s="990"/>
      <c r="J2860" s="57"/>
      <c r="K2860" s="57"/>
      <c r="L2860" s="57"/>
      <c r="M2860" s="57"/>
      <c r="N2860" s="57"/>
      <c r="O2860" s="57"/>
      <c r="P2860" s="57"/>
      <c r="Q2860" s="57"/>
      <c r="R2860" s="57"/>
      <c r="S2860" s="57"/>
      <c r="T2860" s="57"/>
      <c r="U2860" s="57"/>
      <c r="V2860" s="57"/>
      <c r="W2860" s="57"/>
      <c r="X2860" s="57"/>
      <c r="Y2860" s="57"/>
      <c r="Z2860" s="57"/>
      <c r="AA2860" s="57"/>
      <c r="AB2860" s="57"/>
      <c r="AC2860" s="57"/>
      <c r="AD2860" s="57"/>
      <c r="AE2860" s="57"/>
      <c r="AF2860" s="57"/>
    </row>
    <row r="2861" spans="1:32" x14ac:dyDescent="0.2">
      <c r="A2861" s="57"/>
      <c r="B2861" s="57"/>
      <c r="C2861" s="57"/>
      <c r="D2861" s="57"/>
      <c r="E2861" s="57"/>
      <c r="F2861" s="985"/>
      <c r="G2861" s="57"/>
      <c r="H2861" s="57"/>
      <c r="I2861" s="990"/>
      <c r="J2861" s="57"/>
      <c r="K2861" s="57"/>
      <c r="L2861" s="57"/>
      <c r="M2861" s="57"/>
      <c r="N2861" s="57"/>
      <c r="O2861" s="57"/>
      <c r="P2861" s="57"/>
      <c r="Q2861" s="57"/>
      <c r="R2861" s="57"/>
      <c r="S2861" s="57"/>
      <c r="T2861" s="57"/>
      <c r="U2861" s="57"/>
      <c r="V2861" s="57"/>
      <c r="W2861" s="57"/>
      <c r="X2861" s="57"/>
      <c r="Y2861" s="57"/>
      <c r="Z2861" s="57"/>
      <c r="AA2861" s="57"/>
      <c r="AB2861" s="57"/>
      <c r="AC2861" s="57"/>
      <c r="AD2861" s="57"/>
      <c r="AE2861" s="57"/>
      <c r="AF2861" s="57"/>
    </row>
    <row r="2862" spans="1:32" x14ac:dyDescent="0.2">
      <c r="A2862" s="57"/>
      <c r="B2862" s="57"/>
      <c r="C2862" s="57"/>
      <c r="D2862" s="57"/>
      <c r="E2862" s="57"/>
      <c r="F2862" s="985"/>
      <c r="G2862" s="57"/>
      <c r="H2862" s="57"/>
      <c r="I2862" s="990"/>
      <c r="J2862" s="57"/>
      <c r="K2862" s="57"/>
      <c r="L2862" s="57"/>
      <c r="M2862" s="57"/>
      <c r="N2862" s="57"/>
      <c r="O2862" s="57"/>
      <c r="P2862" s="57"/>
      <c r="Q2862" s="57"/>
      <c r="R2862" s="57"/>
      <c r="S2862" s="57"/>
      <c r="T2862" s="57"/>
      <c r="U2862" s="57"/>
      <c r="V2862" s="57"/>
      <c r="W2862" s="57"/>
      <c r="X2862" s="57"/>
      <c r="Y2862" s="57"/>
      <c r="Z2862" s="57"/>
      <c r="AA2862" s="57"/>
      <c r="AB2862" s="57"/>
      <c r="AC2862" s="57"/>
      <c r="AD2862" s="57"/>
      <c r="AE2862" s="57"/>
      <c r="AF2862" s="57"/>
    </row>
    <row r="2863" spans="1:32" x14ac:dyDescent="0.2">
      <c r="A2863" s="57"/>
      <c r="B2863" s="57"/>
      <c r="C2863" s="57"/>
      <c r="D2863" s="57"/>
      <c r="E2863" s="57"/>
      <c r="F2863" s="985"/>
      <c r="G2863" s="57"/>
      <c r="H2863" s="57"/>
      <c r="I2863" s="990"/>
      <c r="J2863" s="57"/>
      <c r="K2863" s="57"/>
      <c r="L2863" s="57"/>
      <c r="M2863" s="57"/>
      <c r="N2863" s="57"/>
      <c r="O2863" s="57"/>
      <c r="P2863" s="57"/>
      <c r="Q2863" s="57"/>
      <c r="R2863" s="57"/>
      <c r="S2863" s="57"/>
      <c r="T2863" s="57"/>
      <c r="U2863" s="57"/>
      <c r="V2863" s="57"/>
      <c r="W2863" s="57"/>
      <c r="X2863" s="57"/>
      <c r="Y2863" s="57"/>
      <c r="Z2863" s="57"/>
      <c r="AA2863" s="57"/>
      <c r="AB2863" s="57"/>
      <c r="AC2863" s="57"/>
      <c r="AD2863" s="57"/>
      <c r="AE2863" s="57"/>
      <c r="AF2863" s="57"/>
    </row>
    <row r="2864" spans="1:32" x14ac:dyDescent="0.2">
      <c r="A2864" s="57"/>
      <c r="B2864" s="57"/>
      <c r="C2864" s="57"/>
      <c r="D2864" s="57"/>
      <c r="E2864" s="57"/>
      <c r="F2864" s="985"/>
      <c r="G2864" s="57"/>
      <c r="H2864" s="57"/>
      <c r="I2864" s="990"/>
      <c r="J2864" s="57"/>
      <c r="K2864" s="57"/>
      <c r="L2864" s="57"/>
      <c r="M2864" s="57"/>
      <c r="N2864" s="57"/>
      <c r="O2864" s="57"/>
      <c r="P2864" s="57"/>
      <c r="Q2864" s="57"/>
      <c r="R2864" s="57"/>
      <c r="S2864" s="57"/>
      <c r="T2864" s="57"/>
      <c r="U2864" s="57"/>
      <c r="V2864" s="57"/>
      <c r="W2864" s="57"/>
      <c r="X2864" s="57"/>
      <c r="Y2864" s="57"/>
      <c r="Z2864" s="57"/>
      <c r="AA2864" s="57"/>
      <c r="AB2864" s="57"/>
      <c r="AC2864" s="57"/>
      <c r="AD2864" s="57"/>
      <c r="AE2864" s="57"/>
      <c r="AF2864" s="57"/>
    </row>
  </sheetData>
  <sheetProtection algorithmName="SHA-512" hashValue="mv22WxjpRU4XWQnLvmdbXL8zaTZN4zMkREe7M7jY4BSgFEYGQU+8e8aaTxOW5kNTOs0zacRwI1WJZ3pp8rdCAA==" saltValue="HFLrSqxaVEtCA0VR4bN6Tg==" spinCount="100000" sheet="1"/>
  <mergeCells count="32">
    <mergeCell ref="A1:D1"/>
    <mergeCell ref="A185:E185"/>
    <mergeCell ref="A145:D145"/>
    <mergeCell ref="A146:D146"/>
    <mergeCell ref="A177:B177"/>
    <mergeCell ref="A173:D173"/>
    <mergeCell ref="B183:E183"/>
    <mergeCell ref="A164:D164"/>
    <mergeCell ref="A182:E182"/>
    <mergeCell ref="A179:B179"/>
    <mergeCell ref="D162:D163"/>
    <mergeCell ref="E162:E163"/>
    <mergeCell ref="D157:D158"/>
    <mergeCell ref="D153:D154"/>
    <mergeCell ref="A2:D2"/>
    <mergeCell ref="D155:D156"/>
    <mergeCell ref="F183:G183"/>
    <mergeCell ref="E153:E154"/>
    <mergeCell ref="E155:E156"/>
    <mergeCell ref="E157:E158"/>
    <mergeCell ref="F176:F177"/>
    <mergeCell ref="F51:H55"/>
    <mergeCell ref="F120:H126"/>
    <mergeCell ref="F127:H131"/>
    <mergeCell ref="F153:G158"/>
    <mergeCell ref="A117:D117"/>
    <mergeCell ref="A186:E186"/>
    <mergeCell ref="A188:E188"/>
    <mergeCell ref="A190:E190"/>
    <mergeCell ref="A191:E191"/>
    <mergeCell ref="A189:E189"/>
    <mergeCell ref="A187:E187"/>
  </mergeCells>
  <phoneticPr fontId="0" type="noConversion"/>
  <conditionalFormatting sqref="E117">
    <cfRule type="cellIs" dxfId="217" priority="92" stopIfTrue="1" operator="notEqual">
      <formula>0</formula>
    </cfRule>
  </conditionalFormatting>
  <conditionalFormatting sqref="B183:E183">
    <cfRule type="cellIs" dxfId="216" priority="93" stopIfTrue="1" operator="equal">
      <formula>"(please enter your name here if you are able to certify the above statement as being correct)"</formula>
    </cfRule>
    <cfRule type="expression" dxfId="215" priority="94" stopIfTrue="1">
      <formula>ISBLANK($B$183)</formula>
    </cfRule>
  </conditionalFormatting>
  <conditionalFormatting sqref="D177">
    <cfRule type="expression" dxfId="214" priority="95" stopIfTrue="1">
      <formula>ISBLANK($D$177)</formula>
    </cfRule>
  </conditionalFormatting>
  <conditionalFormatting sqref="D34:D46">
    <cfRule type="expression" dxfId="213" priority="97" stopIfTrue="1">
      <formula>$A34="Not in use"</formula>
    </cfRule>
  </conditionalFormatting>
  <conditionalFormatting sqref="E2">
    <cfRule type="cellIs" dxfId="212" priority="99" stopIfTrue="1" operator="equal">
      <formula>"(please enter)"</formula>
    </cfRule>
    <cfRule type="cellIs" dxfId="211" priority="100" stopIfTrue="1" operator="equal">
      <formula>""</formula>
    </cfRule>
  </conditionalFormatting>
  <conditionalFormatting sqref="A1:D1">
    <cfRule type="cellIs" dxfId="210" priority="101" stopIfTrue="1" operator="equal">
      <formula>""""""</formula>
    </cfRule>
    <cfRule type="cellIs" dxfId="209" priority="102" stopIfTrue="1" operator="equal">
      <formula>"(Please enter your school's cost code on the Income sheet)"</formula>
    </cfRule>
  </conditionalFormatting>
  <conditionalFormatting sqref="A12:A14">
    <cfRule type="expression" dxfId="208" priority="87" stopIfTrue="1">
      <formula>AND(A12="Other: Please enter description",D12&lt;&gt;0)</formula>
    </cfRule>
  </conditionalFormatting>
  <conditionalFormatting sqref="A34:A46">
    <cfRule type="cellIs" dxfId="207" priority="60" operator="equal">
      <formula>"Not in use"</formula>
    </cfRule>
    <cfRule type="expression" dxfId="206" priority="86" stopIfTrue="1">
      <formula>AND(A34="Not in use",D34&lt;&gt;0)</formula>
    </cfRule>
  </conditionalFormatting>
  <conditionalFormatting sqref="A82:A86">
    <cfRule type="expression" dxfId="205" priority="246" stopIfTrue="1">
      <formula>AND(A82="Not in use",#REF!&lt;&gt;0)</formula>
    </cfRule>
  </conditionalFormatting>
  <conditionalFormatting sqref="B97">
    <cfRule type="expression" dxfId="204" priority="74">
      <formula>AND(A97="Curriculum: not in use",B97=0)</formula>
    </cfRule>
  </conditionalFormatting>
  <conditionalFormatting sqref="D15:D29">
    <cfRule type="expression" dxfId="203" priority="61">
      <formula>$A15="Not in use"</formula>
    </cfRule>
  </conditionalFormatting>
  <conditionalFormatting sqref="B127:B130 B133:B140">
    <cfRule type="expression" dxfId="202" priority="247" stopIfTrue="1">
      <formula>$I127=1</formula>
    </cfRule>
  </conditionalFormatting>
  <conditionalFormatting sqref="E153">
    <cfRule type="expression" dxfId="201" priority="249" stopIfTrue="1">
      <formula>$I$153=1</formula>
    </cfRule>
  </conditionalFormatting>
  <conditionalFormatting sqref="E155">
    <cfRule type="expression" dxfId="200" priority="250" stopIfTrue="1">
      <formula>$I$155=1</formula>
    </cfRule>
  </conditionalFormatting>
  <conditionalFormatting sqref="E157">
    <cfRule type="expression" dxfId="199" priority="251" stopIfTrue="1">
      <formula>$I$157=1</formula>
    </cfRule>
  </conditionalFormatting>
  <conditionalFormatting sqref="A190">
    <cfRule type="cellIs" dxfId="198" priority="59" stopIfTrue="1" operator="equal">
      <formula>"Please address all issues detailed in column H before creating the budget return for the Schools Finance Team"</formula>
    </cfRule>
  </conditionalFormatting>
  <conditionalFormatting sqref="A191">
    <cfRule type="cellIs" dxfId="197" priority="55" stopIfTrue="1" operator="equal">
      <formula>"Please address all issues detailed in column H before creating the budget return for the Schools Finance Team"</formula>
    </cfRule>
  </conditionalFormatting>
  <conditionalFormatting sqref="A22">
    <cfRule type="cellIs" dxfId="196" priority="53" operator="equal">
      <formula>"Not in use"</formula>
    </cfRule>
    <cfRule type="expression" dxfId="195" priority="54" stopIfTrue="1">
      <formula>AND(A22="Not in use",D22&lt;&gt;0)</formula>
    </cfRule>
  </conditionalFormatting>
  <conditionalFormatting sqref="A23:A29">
    <cfRule type="cellIs" dxfId="194" priority="51" operator="equal">
      <formula>"Not in use"</formula>
    </cfRule>
    <cfRule type="expression" dxfId="193" priority="52" stopIfTrue="1">
      <formula>AND(A23="Not in use",D23&lt;&gt;0)</formula>
    </cfRule>
  </conditionalFormatting>
  <conditionalFormatting sqref="A15:A21">
    <cfRule type="cellIs" dxfId="192" priority="49" operator="equal">
      <formula>"Not in use"</formula>
    </cfRule>
    <cfRule type="expression" dxfId="191" priority="50" stopIfTrue="1">
      <formula>AND(A15="Not in use",D15&lt;&gt;0)</formula>
    </cfRule>
  </conditionalFormatting>
  <conditionalFormatting sqref="A97">
    <cfRule type="expression" dxfId="190" priority="46">
      <formula>AND(A98="Curriculum: not in use",B97&lt;&gt;0)</formula>
    </cfRule>
    <cfRule type="expression" dxfId="189" priority="47">
      <formula>A97="Curriculum: not in use"</formula>
    </cfRule>
  </conditionalFormatting>
  <conditionalFormatting sqref="A98:A103">
    <cfRule type="expression" dxfId="188" priority="44">
      <formula>AND(A98="Curriculum: not in use",B98&lt;&gt;0)</formula>
    </cfRule>
    <cfRule type="expression" dxfId="187" priority="45">
      <formula>A98="Curriculum: not in use"</formula>
    </cfRule>
  </conditionalFormatting>
  <conditionalFormatting sqref="D60">
    <cfRule type="expression" dxfId="186" priority="42">
      <formula>AND(D61="Curriculum: not in use",E60&lt;&gt;0)</formula>
    </cfRule>
    <cfRule type="expression" dxfId="185" priority="43">
      <formula>D60="Curriculum: not in use"</formula>
    </cfRule>
  </conditionalFormatting>
  <conditionalFormatting sqref="B98:B103">
    <cfRule type="expression" dxfId="184" priority="41">
      <formula>AND(A98="Curriculum: not in use",B98=0)</formula>
    </cfRule>
  </conditionalFormatting>
  <conditionalFormatting sqref="E60">
    <cfRule type="expression" dxfId="183" priority="40">
      <formula>AND(D60="Curriculum: not in use",E60=0)</formula>
    </cfRule>
  </conditionalFormatting>
  <conditionalFormatting sqref="A72">
    <cfRule type="expression" dxfId="182" priority="38">
      <formula>AND(A72="Staffing: not in use",B72&lt;&gt;0)</formula>
    </cfRule>
    <cfRule type="expression" dxfId="181" priority="39">
      <formula>A72="Staffing: not in use"</formula>
    </cfRule>
  </conditionalFormatting>
  <conditionalFormatting sqref="A73:A79">
    <cfRule type="expression" dxfId="180" priority="36">
      <formula>AND(A74="Staffing: not in use",B73&lt;&gt;0)</formula>
    </cfRule>
    <cfRule type="expression" dxfId="179" priority="37">
      <formula>A73="Staffing: not in use"</formula>
    </cfRule>
  </conditionalFormatting>
  <conditionalFormatting sqref="B72">
    <cfRule type="expression" dxfId="178" priority="35">
      <formula>AND(A72="Staffing: not in use",B72=0)</formula>
    </cfRule>
  </conditionalFormatting>
  <conditionalFormatting sqref="B73:B79">
    <cfRule type="expression" dxfId="177" priority="34">
      <formula>AND(A73="Staffing: not in use",B73=0)</formula>
    </cfRule>
  </conditionalFormatting>
  <conditionalFormatting sqref="A89">
    <cfRule type="expression" dxfId="176" priority="32">
      <formula>AND(A90="Premises: not in use",B89&lt;&gt;0)</formula>
    </cfRule>
    <cfRule type="expression" dxfId="175" priority="33">
      <formula>A89="Premises: not in use"</formula>
    </cfRule>
  </conditionalFormatting>
  <conditionalFormatting sqref="B89">
    <cfRule type="expression" dxfId="174" priority="31">
      <formula>AND(A89="Premises: not in use",B89=0)</formula>
    </cfRule>
  </conditionalFormatting>
  <conditionalFormatting sqref="A90:A94">
    <cfRule type="expression" dxfId="173" priority="29">
      <formula>AND(A90="Premises: not in use",B90&lt;&gt;0)</formula>
    </cfRule>
    <cfRule type="expression" dxfId="172" priority="30">
      <formula>A90="Premises: not in use"</formula>
    </cfRule>
  </conditionalFormatting>
  <conditionalFormatting sqref="B90:B94">
    <cfRule type="expression" dxfId="171" priority="28">
      <formula>AND(A90="Premises: not in use",B90=0)</formula>
    </cfRule>
  </conditionalFormatting>
  <conditionalFormatting sqref="D63">
    <cfRule type="expression" dxfId="170" priority="26">
      <formula>AND(D63="Transport: not in use",E63&lt;&gt;0)</formula>
    </cfRule>
    <cfRule type="expression" dxfId="169" priority="27">
      <formula>D63="Transport: not in use"</formula>
    </cfRule>
  </conditionalFormatting>
  <conditionalFormatting sqref="E63">
    <cfRule type="expression" dxfId="168" priority="25">
      <formula>AND(D63="Transport: not in use",E63=0)</formula>
    </cfRule>
  </conditionalFormatting>
  <conditionalFormatting sqref="E64">
    <cfRule type="expression" dxfId="167" priority="22">
      <formula>AND(D64="Transport: not in use",E64=0)</formula>
    </cfRule>
  </conditionalFormatting>
  <conditionalFormatting sqref="D64">
    <cfRule type="expression" dxfId="166" priority="18">
      <formula>AND(D64="Transport: not in use",E64&lt;&gt;0)</formula>
    </cfRule>
    <cfRule type="expression" dxfId="165" priority="19">
      <formula>D64="Transport: not in use"</formula>
    </cfRule>
  </conditionalFormatting>
  <conditionalFormatting sqref="D68">
    <cfRule type="expression" dxfId="164" priority="16">
      <formula>AND(D68="Administrative: not in use",E68&lt;&gt;0)</formula>
    </cfRule>
    <cfRule type="expression" dxfId="163" priority="17">
      <formula>D68="Administrative: not in use"</formula>
    </cfRule>
  </conditionalFormatting>
  <conditionalFormatting sqref="E68">
    <cfRule type="expression" dxfId="162" priority="15">
      <formula>AND(D68="Administrative: not in use",E68=0)</formula>
    </cfRule>
  </conditionalFormatting>
  <conditionalFormatting sqref="D69:D73">
    <cfRule type="expression" dxfId="161" priority="13">
      <formula>AND(D69="Administrative: not in use",E69&lt;&gt;0)</formula>
    </cfRule>
    <cfRule type="expression" dxfId="160" priority="14">
      <formula>D69="Administrative: not in use"</formula>
    </cfRule>
  </conditionalFormatting>
  <conditionalFormatting sqref="E69:E73">
    <cfRule type="expression" dxfId="159" priority="12">
      <formula>AND(D69="Administrative: not in use",E69=0)</formula>
    </cfRule>
  </conditionalFormatting>
  <conditionalFormatting sqref="D81">
    <cfRule type="expression" dxfId="158" priority="10">
      <formula>AND(D81="Other costs: not in use",E81&lt;&gt;0)</formula>
    </cfRule>
    <cfRule type="expression" dxfId="157" priority="11">
      <formula>D81="Other costs: not in use"</formula>
    </cfRule>
  </conditionalFormatting>
  <conditionalFormatting sqref="E81">
    <cfRule type="expression" dxfId="156" priority="9">
      <formula>AND(D81="Other costs: not in use",E81=0)</formula>
    </cfRule>
  </conditionalFormatting>
  <conditionalFormatting sqref="D82:D103">
    <cfRule type="expression" dxfId="155" priority="7">
      <formula>AND(D82="Other costs: not in use",E82&lt;&gt;0)</formula>
    </cfRule>
    <cfRule type="expression" dxfId="154" priority="8">
      <formula>D82="Other costs: not in use"</formula>
    </cfRule>
  </conditionalFormatting>
  <conditionalFormatting sqref="E82:E103">
    <cfRule type="expression" dxfId="153" priority="6">
      <formula>AND(D82="Other costs: not in use",E82=0)</formula>
    </cfRule>
  </conditionalFormatting>
  <conditionalFormatting sqref="A185:E185">
    <cfRule type="expression" dxfId="152" priority="4">
      <formula>$A$185="Thank you. Whilst the Budget Return Notification is complete, one or more points of concern are listed below. These may be queried by the Local Authority and further information or amendments could be required from you to support your return."</formula>
    </cfRule>
    <cfRule type="expression" dxfId="151" priority="5">
      <formula>$A$185="Please address all issues detailed in column F before submitting this budget return to the Schools Finance Team"</formula>
    </cfRule>
  </conditionalFormatting>
  <conditionalFormatting sqref="A117:D117">
    <cfRule type="expression" dxfId="150" priority="2">
      <formula>$A$117="Deficit budget. Please contact the Schools Finance Monitoring Team"</formula>
    </cfRule>
  </conditionalFormatting>
  <conditionalFormatting sqref="A187:E187">
    <cfRule type="expression" dxfId="149" priority="1">
      <formula>$A$187="The Governing Body is not authorised to set a deficit budget. Please contact the Schools Finance Team for advice"</formula>
    </cfRule>
  </conditionalFormatting>
  <dataValidations count="1">
    <dataValidation type="decimal" operator="lessThanOrEqual" allowBlank="1" showInputMessage="1" showErrorMessage="1" error="Please enter income as a minus amount" sqref="E157:E158">
      <formula1>0</formula1>
    </dataValidation>
  </dataValidations>
  <pageMargins left="0.59055118110236227" right="0.59055118110236227" top="0.39370078740157483" bottom="0.39370078740157483" header="0.19685039370078741" footer="0.19685039370078741"/>
  <pageSetup paperSize="9" scale="94" orientation="portrait" blackAndWhite="1" r:id="rId1"/>
  <headerFooter alignWithMargins="0">
    <oddHeader xml:space="preserve">&amp;R&amp;F
</oddHeader>
    <oddFooter>&amp;LFormat Prepared by the Schools Finance Team&amp;C&amp;P&amp;RPrinted &amp;T &amp;D</oddFooter>
  </headerFooter>
  <rowBreaks count="3" manualBreakCount="3">
    <brk id="58" max="4" man="1"/>
    <brk id="106" max="4" man="1"/>
    <brk id="165" max="4" man="1"/>
  </rowBreaks>
  <legacyDrawing r:id="rId2"/>
  <extLst>
    <ext xmlns:x14="http://schemas.microsoft.com/office/spreadsheetml/2009/9/main" uri="{78C0D931-6437-407d-A8EE-F0AAD7539E65}">
      <x14:conditionalFormattings>
        <x14:conditionalFormatting xmlns:xm="http://schemas.microsoft.com/office/excel/2006/main">
          <x14:cfRule type="expression" priority="3" id="{E1430EB3-63BB-425F-9C74-F7D313745DF0}">
            <xm:f>$A$185="Thank you, this "&amp;'Fin.Yr Lookups'!A5&amp;" Budget Plan Notification Return is complete and is ready to be submitted to the Schools Finance Team"</xm:f>
            <x14:dxf>
              <fill>
                <patternFill>
                  <bgColor rgb="FF00B050"/>
                </patternFill>
              </fill>
            </x14:dxf>
          </x14:cfRule>
          <xm:sqref>A185:E185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V64"/>
  <sheetViews>
    <sheetView zoomScale="95" zoomScaleNormal="75" workbookViewId="0">
      <pane xSplit="1" ySplit="6" topLeftCell="B25" activePane="bottomRight" state="frozen"/>
      <selection activeCell="F27" sqref="F27"/>
      <selection pane="topRight" activeCell="F27" sqref="F27"/>
      <selection pane="bottomLeft" activeCell="F27" sqref="F27"/>
      <selection pane="bottomRight" activeCell="D53" sqref="D53"/>
    </sheetView>
  </sheetViews>
  <sheetFormatPr defaultColWidth="9.140625" defaultRowHeight="12.75" x14ac:dyDescent="0.2"/>
  <cols>
    <col min="1" max="1" width="46.85546875" style="60" customWidth="1"/>
    <col min="2" max="2" width="8.42578125" style="61" customWidth="1"/>
    <col min="3" max="3" width="54.85546875" style="62" customWidth="1"/>
    <col min="4" max="5" width="12.7109375" style="60" customWidth="1"/>
    <col min="6" max="6" width="4.85546875" style="60" customWidth="1"/>
    <col min="7" max="7" width="19.28515625" style="60" customWidth="1"/>
    <col min="8" max="20" width="11.85546875" style="60" customWidth="1"/>
    <col min="21" max="21" width="9" style="423" hidden="1" customWidth="1"/>
    <col min="22" max="22" width="20.140625" style="60" customWidth="1"/>
    <col min="23" max="16384" width="9.140625" style="60"/>
  </cols>
  <sheetData>
    <row r="1" spans="1:22" ht="30.75" customHeight="1" thickBot="1" x14ac:dyDescent="0.25">
      <c r="A1" s="1068" t="str">
        <f>IF(E1="(please enter)","School Name (Please enter your school's cost centre in cell E1 &amp; check that the correct school name appears here)",VLOOKUP(E1,Lookup!A:B,2,FALSE))</f>
        <v>Matching Green CE P</v>
      </c>
      <c r="B1" s="1069"/>
      <c r="C1" s="1070"/>
      <c r="D1" s="63" t="s">
        <v>546</v>
      </c>
      <c r="E1" s="58">
        <v>3370</v>
      </c>
      <c r="G1" s="1071" t="s">
        <v>765</v>
      </c>
      <c r="H1" s="1072"/>
      <c r="I1" s="1072"/>
      <c r="J1" s="1072"/>
      <c r="K1" s="1072"/>
      <c r="L1" s="1072"/>
      <c r="M1" s="1072"/>
      <c r="N1" s="1072"/>
      <c r="O1" s="1072"/>
      <c r="P1" s="1072"/>
      <c r="Q1" s="1072"/>
      <c r="R1" s="1072"/>
      <c r="S1" s="1072"/>
      <c r="T1" s="1073"/>
    </row>
    <row r="2" spans="1:22" s="212" customFormat="1" ht="39" customHeight="1" x14ac:dyDescent="0.2">
      <c r="A2" s="209" t="str">
        <f>'Fin.Yr Lookups'!A5&amp;" Budget Plan: Revenue Funds Available"</f>
        <v>2020-21 Budget Plan: Revenue Funds Available</v>
      </c>
      <c r="B2" s="209"/>
      <c r="C2" s="210"/>
      <c r="E2" s="211" t="s">
        <v>744</v>
      </c>
      <c r="G2" s="297"/>
      <c r="H2" s="1077" t="s">
        <v>788</v>
      </c>
      <c r="I2" s="1077"/>
      <c r="J2" s="1077"/>
      <c r="K2" s="1077"/>
      <c r="L2" s="1077"/>
      <c r="M2" s="1077"/>
      <c r="N2" s="1077"/>
      <c r="O2" s="1077"/>
      <c r="P2" s="1077"/>
      <c r="Q2" s="1077"/>
      <c r="R2" s="1077"/>
      <c r="S2" s="1077"/>
      <c r="T2" s="298"/>
      <c r="U2" s="424"/>
    </row>
    <row r="3" spans="1:22" ht="15" customHeight="1" x14ac:dyDescent="0.2">
      <c r="A3" s="64"/>
      <c r="B3" s="65"/>
      <c r="G3" s="297"/>
      <c r="H3" s="1077"/>
      <c r="I3" s="1077"/>
      <c r="J3" s="1077"/>
      <c r="K3" s="1077"/>
      <c r="L3" s="1077"/>
      <c r="M3" s="1077"/>
      <c r="N3" s="1077"/>
      <c r="O3" s="1077"/>
      <c r="P3" s="1077"/>
      <c r="Q3" s="1077"/>
      <c r="R3" s="1077"/>
      <c r="S3" s="1077"/>
      <c r="T3" s="298"/>
      <c r="U3" s="424"/>
    </row>
    <row r="4" spans="1:22" ht="12.75" customHeight="1" x14ac:dyDescent="0.2">
      <c r="A4" s="434" t="s">
        <v>784</v>
      </c>
      <c r="B4" s="65"/>
      <c r="C4" s="204"/>
      <c r="G4" s="215" t="s">
        <v>290</v>
      </c>
      <c r="H4" s="307">
        <f>IF($G4="Monthly",$D4/12,IF($G4="Quarterly (From April)",$D4/4,IF($G4="Termly",$D4/3,IF($G4="Monthly (excl. August)",$D4/11,""))))</f>
        <v>0</v>
      </c>
      <c r="I4" s="307">
        <f>IF($G4="Monthly",$D4/12,IF($G4="Quarterly (From April)",0,IF($G4="Termly",0,IF($G4="Monthly (excl. August)",$D4/11,""))))</f>
        <v>0</v>
      </c>
      <c r="J4" s="307">
        <f>IF($G4="Monthly",$D4/12,IF($G4="Quarterly (From April)",0,IF($G4="Termly",0,IF($G4="Monthly (excl. August)",$D4/11,""))))</f>
        <v>0</v>
      </c>
      <c r="K4" s="307">
        <f>IF($G4="Monthly",$D4/12,IF($G4="Quarterly (From April)",$D4/4,IF($G4="Termly",0,IF($G4="Monthly (excl. August)",$D4/11,""))))</f>
        <v>0</v>
      </c>
      <c r="L4" s="307">
        <f>IF($G4="Monthly",$D4/12,IF($G4="Quarterly (From April)",0,IF($G4="Termly",0,IF($G4="Monthly (excl. August)",0,""))))</f>
        <v>0</v>
      </c>
      <c r="M4" s="307">
        <f>IF($G4="Monthly",$D4/12,IF($G4="Quarterly (From April)",0,IF($G4="Termly",$D4/3,IF($G4="Monthly (excl. August)",$D4/11,""))))</f>
        <v>0</v>
      </c>
      <c r="N4" s="307">
        <f>IF($G4="Monthly",$D4/12,IF($G4="Quarterly (From April)",$D4/4,IF($G4="Termly",0,IF($G4="Monthly (excl. August)",$D4/11,""))))</f>
        <v>0</v>
      </c>
      <c r="O4" s="307">
        <f>IF($G4="Monthly",$D4/12,IF($G4="Quarterly (From April)",0,IF($G4="Termly",0,IF($G4="Monthly (excl. August)",$D4/11,""))))</f>
        <v>0</v>
      </c>
      <c r="P4" s="307">
        <f>IF($G4="Monthly",$D4/12,IF($G4="Quarterly (From April)",0,IF($G4="Termly",0,IF($G4="Monthly (excl. August)",$D4/11,""))))</f>
        <v>0</v>
      </c>
      <c r="Q4" s="307">
        <f>IF($G4="Monthly",$D4/12,IF($G4="Quarterly (From April)",$D4/4,IF($G4="Termly",$D4/3,IF($G4="Monthly (excl. August)",$D4/11,""))))</f>
        <v>0</v>
      </c>
      <c r="R4" s="307">
        <f>IF($G4="Monthly",$D4/12,IF($G4="Quarterly (From April)",0,IF($G4="Termly",0,IF($G4="Monthly (excl. August)",$D4/11,""))))</f>
        <v>0</v>
      </c>
      <c r="S4" s="307">
        <f>IF($G4="Monthly",$D4/12,IF($G4="Quarterly (From April)",0,IF($G4="Termly",0,IF($G4="Monthly (excl. August)",$D4/11,""))))</f>
        <v>0</v>
      </c>
      <c r="T4" s="216"/>
    </row>
    <row r="5" spans="1:22" ht="20.25" customHeight="1" thickBot="1" x14ac:dyDescent="0.25">
      <c r="G5" s="1074" t="str">
        <f>IF(SUM(U:U)&gt;0,"Receipts do not equal yearly budgeted amounts on one or more rows (see column V)","")</f>
        <v>Receipts do not equal yearly budgeted amounts on one or more rows (see column V)</v>
      </c>
      <c r="H5" s="1075"/>
      <c r="I5" s="1075"/>
      <c r="J5" s="1075"/>
      <c r="K5" s="1075"/>
      <c r="L5" s="1075"/>
      <c r="M5" s="1075"/>
      <c r="N5" s="1075"/>
      <c r="O5" s="1075"/>
      <c r="P5" s="1075"/>
      <c r="Q5" s="1075"/>
      <c r="R5" s="1075"/>
      <c r="S5" s="1075"/>
      <c r="T5" s="1076"/>
    </row>
    <row r="6" spans="1:22" ht="39" thickBot="1" x14ac:dyDescent="0.25">
      <c r="A6" s="66" t="s">
        <v>408</v>
      </c>
      <c r="B6" s="67" t="s">
        <v>686</v>
      </c>
      <c r="C6" s="68" t="s">
        <v>529</v>
      </c>
      <c r="D6" s="69" t="s">
        <v>531</v>
      </c>
      <c r="E6" s="70" t="s">
        <v>531</v>
      </c>
      <c r="G6" s="219" t="s">
        <v>281</v>
      </c>
      <c r="H6" s="217" t="s">
        <v>776</v>
      </c>
      <c r="I6" s="217" t="s">
        <v>270</v>
      </c>
      <c r="J6" s="217" t="s">
        <v>775</v>
      </c>
      <c r="K6" s="217" t="s">
        <v>774</v>
      </c>
      <c r="L6" s="217" t="s">
        <v>773</v>
      </c>
      <c r="M6" s="217" t="s">
        <v>772</v>
      </c>
      <c r="N6" s="217" t="s">
        <v>771</v>
      </c>
      <c r="O6" s="217" t="s">
        <v>766</v>
      </c>
      <c r="P6" s="217" t="s">
        <v>767</v>
      </c>
      <c r="Q6" s="217" t="s">
        <v>769</v>
      </c>
      <c r="R6" s="217" t="s">
        <v>768</v>
      </c>
      <c r="S6" s="217" t="s">
        <v>770</v>
      </c>
      <c r="T6" s="218" t="s">
        <v>266</v>
      </c>
      <c r="V6" s="323" t="str">
        <f>IF(MAX(SUM(V19:V61))&gt;0,"Amount Unreconciled",IF(MIN(SUM(V19:V61))&lt;0,"Amount Unreconciled",""))</f>
        <v>Amount Unreconciled</v>
      </c>
    </row>
    <row r="7" spans="1:22" x14ac:dyDescent="0.2">
      <c r="A7" s="71" t="s">
        <v>692</v>
      </c>
      <c r="B7" s="72"/>
      <c r="C7" s="73"/>
      <c r="D7" s="73"/>
      <c r="E7" s="74"/>
      <c r="G7" s="1"/>
      <c r="H7" s="1"/>
      <c r="I7" s="1"/>
      <c r="J7" s="1"/>
      <c r="K7" s="1"/>
      <c r="L7" s="1"/>
      <c r="M7" s="1"/>
      <c r="N7" s="1"/>
      <c r="O7" s="1"/>
      <c r="P7" s="1"/>
      <c r="Q7" s="1"/>
      <c r="R7" s="1"/>
      <c r="S7" s="1"/>
      <c r="T7" s="1"/>
    </row>
    <row r="8" spans="1:22" x14ac:dyDescent="0.2">
      <c r="A8" s="588" t="str">
        <f>"Earmarked: Staffing in "&amp;'Fin.Yr Lookups'!A5</f>
        <v>Earmarked: Staffing in 2020-21</v>
      </c>
      <c r="B8" s="120" t="s">
        <v>691</v>
      </c>
      <c r="C8" s="121"/>
      <c r="D8" s="237"/>
      <c r="E8" s="223"/>
    </row>
    <row r="9" spans="1:22" x14ac:dyDescent="0.2">
      <c r="A9" s="130" t="s">
        <v>698</v>
      </c>
      <c r="B9" s="120" t="s">
        <v>691</v>
      </c>
      <c r="C9" s="121"/>
      <c r="D9" s="237"/>
      <c r="E9" s="223"/>
    </row>
    <row r="10" spans="1:22" x14ac:dyDescent="0.2">
      <c r="A10" s="397" t="s">
        <v>186</v>
      </c>
      <c r="B10" s="120" t="s">
        <v>691</v>
      </c>
      <c r="C10" s="1003" t="s">
        <v>1089</v>
      </c>
      <c r="D10" s="237">
        <v>9826</v>
      </c>
      <c r="E10" s="223"/>
    </row>
    <row r="11" spans="1:22" x14ac:dyDescent="0.2">
      <c r="A11" s="585" t="str">
        <f>"Earmarked: Other ("&amp;'Fin.Yr Lookups'!A5&amp;")"</f>
        <v>Earmarked: Other (2020-21)</v>
      </c>
      <c r="B11" s="120" t="s">
        <v>691</v>
      </c>
      <c r="C11" s="1003" t="s">
        <v>1090</v>
      </c>
      <c r="D11" s="237">
        <v>6216</v>
      </c>
      <c r="E11" s="223"/>
    </row>
    <row r="12" spans="1:22" x14ac:dyDescent="0.2">
      <c r="A12" s="585" t="str">
        <f>"Earmarked: Other ("&amp;'Fin.Yr Lookups'!A5&amp;")"</f>
        <v>Earmarked: Other (2020-21)</v>
      </c>
      <c r="B12" s="120" t="s">
        <v>691</v>
      </c>
      <c r="C12" s="1003" t="s">
        <v>1076</v>
      </c>
      <c r="D12" s="237">
        <v>46138</v>
      </c>
      <c r="E12" s="223"/>
    </row>
    <row r="13" spans="1:22" x14ac:dyDescent="0.2">
      <c r="A13" s="585" t="str">
        <f>"Earmarked: Other ("&amp;'Fin.Yr Lookups'!A5&amp;")"</f>
        <v>Earmarked: Other (2020-21)</v>
      </c>
      <c r="B13" s="120" t="s">
        <v>691</v>
      </c>
      <c r="C13" s="202"/>
      <c r="D13" s="300"/>
      <c r="E13" s="224"/>
    </row>
    <row r="14" spans="1:22" x14ac:dyDescent="0.2">
      <c r="A14" s="585" t="str">
        <f>"Earmarked: Other (after "&amp;'Fin.Yr Lookups'!A5&amp;")"</f>
        <v>Earmarked: Other (after 2020-21)</v>
      </c>
      <c r="B14" s="120" t="s">
        <v>691</v>
      </c>
      <c r="C14" s="202"/>
      <c r="D14" s="300"/>
      <c r="E14" s="224"/>
    </row>
    <row r="15" spans="1:22" x14ac:dyDescent="0.2">
      <c r="A15" s="585" t="str">
        <f>"Earmarked: Other (after "&amp;'Fin.Yr Lookups'!A5&amp;")"</f>
        <v>Earmarked: Other (after 2020-21)</v>
      </c>
      <c r="B15" s="120" t="s">
        <v>691</v>
      </c>
      <c r="C15" s="202"/>
      <c r="D15" s="300"/>
      <c r="E15" s="224"/>
    </row>
    <row r="16" spans="1:22" ht="13.5" thickBot="1" x14ac:dyDescent="0.25">
      <c r="A16" s="585" t="str">
        <f>"Earmarked: Other (after "&amp;'Fin.Yr Lookups'!A5&amp;")"</f>
        <v>Earmarked: Other (after 2020-21)</v>
      </c>
      <c r="B16" s="122" t="s">
        <v>691</v>
      </c>
      <c r="C16" s="123"/>
      <c r="D16" s="301"/>
      <c r="E16" s="225">
        <f>SUM(D8:D16)</f>
        <v>62180</v>
      </c>
    </row>
    <row r="17" spans="1:22" ht="13.5" thickBot="1" x14ac:dyDescent="0.25">
      <c r="A17" s="124"/>
      <c r="B17" s="125"/>
      <c r="C17" s="126"/>
      <c r="D17" s="226"/>
      <c r="E17" s="227"/>
    </row>
    <row r="18" spans="1:22" x14ac:dyDescent="0.2">
      <c r="A18" s="127" t="s">
        <v>684</v>
      </c>
      <c r="B18" s="128"/>
      <c r="C18" s="129"/>
      <c r="D18" s="228"/>
      <c r="E18" s="229"/>
    </row>
    <row r="19" spans="1:22" x14ac:dyDescent="0.2">
      <c r="A19" s="130" t="s">
        <v>713</v>
      </c>
      <c r="B19" s="120" t="s">
        <v>690</v>
      </c>
      <c r="C19" s="121"/>
      <c r="D19" s="237">
        <v>407934</v>
      </c>
      <c r="E19" s="223"/>
      <c r="G19" s="299" t="s">
        <v>290</v>
      </c>
      <c r="H19" s="324">
        <f>IF($G19="Monthly",$D19/12,IF($G19="Quarterly (From April)",$D19/4,IF($G19="Termly",$D19/3,IF($G19="Monthly (excl. August)",$D19/11,""))))</f>
        <v>33994.5</v>
      </c>
      <c r="I19" s="324">
        <f>IF($G19="Monthly",$D19/12,IF($G19="Quarterly (From April)",0,IF($G19="Termly",0,IF($G19="Monthly (excl. August)",$D19/11,""))))</f>
        <v>33994.5</v>
      </c>
      <c r="J19" s="324">
        <f>IF($G19="Monthly",$D19/12,IF($G19="Quarterly (From April)",0,IF($G19="Termly",0,IF($G19="Monthly (excl. August)",$D19/11,""))))</f>
        <v>33994.5</v>
      </c>
      <c r="K19" s="324">
        <f>IF($G19="Monthly",$D19/12,IF($G19="Quarterly (From April)",$D19/4,IF($G19="Termly",0,IF($G19="Monthly (excl. August)",$D19/11,""))))</f>
        <v>33994.5</v>
      </c>
      <c r="L19" s="324">
        <f>IF($G19="Monthly",$D19/12,IF($G19="Quarterly (From April)",0,IF($G19="Termly",0,IF($G19="Monthly (excl. August)",0,""))))</f>
        <v>33994.5</v>
      </c>
      <c r="M19" s="324">
        <f>IF($G19="Monthly",$D19/12,IF($G19="Quarterly (From April)",0,IF($G19="Termly",$D19/3,IF($G19="Monthly (excl. August)",$D19/11,""))))</f>
        <v>33994.5</v>
      </c>
      <c r="N19" s="324">
        <f>IF($G19="Monthly",$D19/12,IF($G19="Quarterly (From April)",$D19/4,IF($G19="Termly",0,IF($G19="Monthly (excl. August)",$D19/11,""))))</f>
        <v>33994.5</v>
      </c>
      <c r="O19" s="324">
        <f>IF($G19="Monthly",$D19/12,IF($G19="Quarterly (From April)",0,IF($G19="Termly",0,IF($G19="Monthly (excl. August)",$D19/11,""))))</f>
        <v>33994.5</v>
      </c>
      <c r="P19" s="324">
        <f>IF($G19="Monthly",$D19/12,IF($G19="Quarterly (From April)",0,IF($G19="Termly",0,IF($G19="Monthly (excl. August)",$D19/11,""))))</f>
        <v>33994.5</v>
      </c>
      <c r="Q19" s="324">
        <f>IF($G19="Monthly",$D19/12,IF($G19="Quarterly (From April)",$D19/4,IF($G19="Termly",$D19/3,IF($G19="Monthly (excl. August)",$D19/11,""))))</f>
        <v>33994.5</v>
      </c>
      <c r="R19" s="324">
        <f>IF($G19="Monthly",$D19/12,IF($G19="Quarterly (From April)",0,IF($G19="Termly",0,IF($G19="Monthly (excl. August)",$D19/11,""))))</f>
        <v>33994.5</v>
      </c>
      <c r="S19" s="324">
        <f>IF($G19="Monthly",$D19/12,IF($G19="Quarterly (From April)",0,IF($G19="Termly",0,IF($G19="Monthly (excl. August)",$D19/11,""))))</f>
        <v>33994.5</v>
      </c>
      <c r="T19" s="303">
        <f>D19</f>
        <v>407934</v>
      </c>
      <c r="U19" s="425">
        <f>IF(ROUND(SUM(H19:S19),0)&gt;T19,1,IF(ROUND(SUM(H19:S19),0)&lt;T19,1,0))</f>
        <v>0</v>
      </c>
      <c r="V19" s="322">
        <f>ROUND(SUM(H19:S19)-T19,0)</f>
        <v>0</v>
      </c>
    </row>
    <row r="20" spans="1:22" x14ac:dyDescent="0.2">
      <c r="A20" s="685" t="s">
        <v>892</v>
      </c>
      <c r="B20" s="135"/>
      <c r="C20" s="121" t="str">
        <f>IF(ISNA(VLOOKUP(E1,Lookup!A:A,1,FALSE)),"Please enter your school's cost code in cell E1",IF(ISBLANK(D20),"",IF(D20='Schools Block'!H55,"Estimate calculation from the 'Schools Block' worksheet","")))</f>
        <v/>
      </c>
      <c r="D20" s="237">
        <v>198</v>
      </c>
      <c r="E20" s="223"/>
      <c r="U20" s="60"/>
    </row>
    <row r="21" spans="1:22" x14ac:dyDescent="0.2">
      <c r="A21" s="175" t="s">
        <v>714</v>
      </c>
      <c r="B21" s="135" t="s">
        <v>690</v>
      </c>
      <c r="C21" s="121" t="str">
        <f>IF(ISNA(VLOOKUP(E$1,Lookup!A:A,1,FALSE)),"Please enter your school's cost code in cell E1",IF(D21=ROUND(VLOOKUP(E$1,Lookup!A:M,13,FALSE),0),"PFI allocation in Schools Block (estimated at prior year rate)",""))</f>
        <v>PFI allocation in Schools Block (estimated at prior year rate)</v>
      </c>
      <c r="D21" s="237">
        <f>IF(ISNA(VLOOKUP(E$1,Lookup!A:M,13,FALSE)),0,ROUND(VLOOKUP(E$1,Lookup!A:M,13,FALSE),0))</f>
        <v>0</v>
      </c>
      <c r="E21" s="223"/>
      <c r="G21" s="299" t="s">
        <v>290</v>
      </c>
      <c r="H21" s="828">
        <f t="shared" ref="H21:H23" si="0">IF($G21="Monthly",$D21/12,IF($G21="Quarterly (From April)",$D21/4,IF($G21="Termly",$D21/3,IF($G21="Monthly (excl. August)",$D21/11,""))))</f>
        <v>0</v>
      </c>
      <c r="I21" s="828">
        <f t="shared" ref="I21:J23" si="1">IF($G21="Monthly",$D21/12,IF($G21="Quarterly (From April)",0,IF($G21="Termly",0,IF($G21="Monthly (excl. August)",$D21/11,""))))</f>
        <v>0</v>
      </c>
      <c r="J21" s="828">
        <f t="shared" si="1"/>
        <v>0</v>
      </c>
      <c r="K21" s="828">
        <f t="shared" ref="K21:K23" si="2">IF($G21="Monthly",$D21/12,IF($G21="Quarterly (From April)",$D21/4,IF($G21="Termly",0,IF($G21="Monthly (excl. August)",$D21/11,""))))</f>
        <v>0</v>
      </c>
      <c r="L21" s="828">
        <f t="shared" ref="L21:L23" si="3">IF($G21="Monthly",$D21/12,IF($G21="Quarterly (From April)",0,IF($G21="Termly",0,IF($G21="Monthly (excl. August)",0,""))))</f>
        <v>0</v>
      </c>
      <c r="M21" s="828">
        <f t="shared" ref="M21:M23" si="4">IF($G21="Monthly",$D21/12,IF($G21="Quarterly (From April)",0,IF($G21="Termly",$D21/3,IF($G21="Monthly (excl. August)",$D21/11,""))))</f>
        <v>0</v>
      </c>
      <c r="N21" s="828">
        <f t="shared" ref="N21:N23" si="5">IF($G21="Monthly",$D21/12,IF($G21="Quarterly (From April)",$D21/4,IF($G21="Termly",0,IF($G21="Monthly (excl. August)",$D21/11,""))))</f>
        <v>0</v>
      </c>
      <c r="O21" s="828">
        <f t="shared" ref="O21:P23" si="6">IF($G21="Monthly",$D21/12,IF($G21="Quarterly (From April)",0,IF($G21="Termly",0,IF($G21="Monthly (excl. August)",$D21/11,""))))</f>
        <v>0</v>
      </c>
      <c r="P21" s="828">
        <f t="shared" si="6"/>
        <v>0</v>
      </c>
      <c r="Q21" s="828">
        <f t="shared" ref="Q21:Q23" si="7">IF($G21="Monthly",$D21/12,IF($G21="Quarterly (From April)",$D21/4,IF($G21="Termly",$D21/3,IF($G21="Monthly (excl. August)",$D21/11,""))))</f>
        <v>0</v>
      </c>
      <c r="R21" s="828">
        <f t="shared" ref="R21:S23" si="8">IF($G21="Monthly",$D21/12,IF($G21="Quarterly (From April)",0,IF($G21="Termly",0,IF($G21="Monthly (excl. August)",$D21/11,""))))</f>
        <v>0</v>
      </c>
      <c r="S21" s="828">
        <f t="shared" si="8"/>
        <v>0</v>
      </c>
      <c r="T21" s="303">
        <f t="shared" ref="T21:T43" si="9">D21</f>
        <v>0</v>
      </c>
      <c r="U21" s="425">
        <f t="shared" ref="U21:U43" si="10">IF(ROUND(SUM(H21:S21),0)&gt;T21,1,IF(ROUND(SUM(H21:S21),0)&lt;T21,1,0))</f>
        <v>0</v>
      </c>
      <c r="V21" s="322">
        <f t="shared" ref="V21:V43" si="11">ROUND(SUM(H21:S21)-T21,0)</f>
        <v>0</v>
      </c>
    </row>
    <row r="22" spans="1:22" x14ac:dyDescent="0.2">
      <c r="A22" s="588" t="s">
        <v>908</v>
      </c>
      <c r="B22" s="120"/>
      <c r="C22" s="121" t="str">
        <f>IF(ISBLANK(D22),"",IF(D22='High Needs Statements'!B$14,"Estimate from the 'High Needs Statements' worksheet",""))</f>
        <v>Estimate from the 'High Needs Statements' worksheet</v>
      </c>
      <c r="D22" s="237">
        <f>IF(ISNA('High Needs Statements'!B$14),0,'High Needs Statements'!B$14)</f>
        <v>0</v>
      </c>
      <c r="E22" s="223"/>
      <c r="G22" s="433" t="s">
        <v>290</v>
      </c>
      <c r="H22" s="828">
        <f t="shared" si="0"/>
        <v>0</v>
      </c>
      <c r="I22" s="828">
        <f t="shared" si="1"/>
        <v>0</v>
      </c>
      <c r="J22" s="828">
        <f t="shared" si="1"/>
        <v>0</v>
      </c>
      <c r="K22" s="828">
        <f t="shared" si="2"/>
        <v>0</v>
      </c>
      <c r="L22" s="828">
        <f t="shared" si="3"/>
        <v>0</v>
      </c>
      <c r="M22" s="828">
        <f t="shared" si="4"/>
        <v>0</v>
      </c>
      <c r="N22" s="828">
        <f t="shared" si="5"/>
        <v>0</v>
      </c>
      <c r="O22" s="828">
        <f t="shared" si="6"/>
        <v>0</v>
      </c>
      <c r="P22" s="828">
        <f t="shared" si="6"/>
        <v>0</v>
      </c>
      <c r="Q22" s="828">
        <f t="shared" si="7"/>
        <v>0</v>
      </c>
      <c r="R22" s="828">
        <f t="shared" si="8"/>
        <v>0</v>
      </c>
      <c r="S22" s="828">
        <f t="shared" si="8"/>
        <v>0</v>
      </c>
      <c r="T22" s="303">
        <f t="shared" si="9"/>
        <v>0</v>
      </c>
      <c r="U22" s="425">
        <f t="shared" si="10"/>
        <v>0</v>
      </c>
      <c r="V22" s="322">
        <f t="shared" si="11"/>
        <v>0</v>
      </c>
    </row>
    <row r="23" spans="1:22" x14ac:dyDescent="0.2">
      <c r="A23" s="588" t="s">
        <v>824</v>
      </c>
      <c r="B23" s="120"/>
      <c r="C23" s="121" t="str">
        <f>IF(ISNA(VLOOKUP(E$1,Lookup!A:A,1,FALSE)),"Please enter your school's cost code in cell E1",IF(ISBLANK(D23),"",IF(D23='Special Provision'!C12+'Special Provision'!C46,"Estimate calculation from the 'Special Provision' worksheet","")))</f>
        <v>Estimate calculation from the 'Special Provision' worksheet</v>
      </c>
      <c r="D23" s="237">
        <f>'Special Provision'!C12+'Special Provision'!C46</f>
        <v>0</v>
      </c>
      <c r="E23" s="223"/>
      <c r="G23" s="433" t="s">
        <v>290</v>
      </c>
      <c r="H23" s="828">
        <f t="shared" si="0"/>
        <v>0</v>
      </c>
      <c r="I23" s="828">
        <f t="shared" si="1"/>
        <v>0</v>
      </c>
      <c r="J23" s="828">
        <f t="shared" si="1"/>
        <v>0</v>
      </c>
      <c r="K23" s="828">
        <f t="shared" si="2"/>
        <v>0</v>
      </c>
      <c r="L23" s="828">
        <f t="shared" si="3"/>
        <v>0</v>
      </c>
      <c r="M23" s="828">
        <f t="shared" si="4"/>
        <v>0</v>
      </c>
      <c r="N23" s="828">
        <f t="shared" si="5"/>
        <v>0</v>
      </c>
      <c r="O23" s="828">
        <f t="shared" si="6"/>
        <v>0</v>
      </c>
      <c r="P23" s="828">
        <f t="shared" si="6"/>
        <v>0</v>
      </c>
      <c r="Q23" s="828">
        <f t="shared" si="7"/>
        <v>0</v>
      </c>
      <c r="R23" s="828">
        <f t="shared" si="8"/>
        <v>0</v>
      </c>
      <c r="S23" s="828">
        <f t="shared" si="8"/>
        <v>0</v>
      </c>
      <c r="T23" s="303">
        <f t="shared" si="9"/>
        <v>0</v>
      </c>
      <c r="U23" s="425">
        <f t="shared" si="10"/>
        <v>0</v>
      </c>
      <c r="V23" s="322">
        <f t="shared" si="11"/>
        <v>0</v>
      </c>
    </row>
    <row r="24" spans="1:22" x14ac:dyDescent="0.2">
      <c r="A24" s="130" t="s">
        <v>296</v>
      </c>
      <c r="B24" s="120" t="s">
        <v>690</v>
      </c>
      <c r="C24" s="121" t="str">
        <f>IF(D24='Early Years'!G$21,"Estimate calculation from the 'Early Years' worksheet","")</f>
        <v>Estimate calculation from the 'Early Years' worksheet</v>
      </c>
      <c r="D24" s="237">
        <f>'Early Years'!G$21</f>
        <v>0</v>
      </c>
      <c r="E24" s="223"/>
      <c r="G24" s="433" t="s">
        <v>291</v>
      </c>
      <c r="H24" s="828">
        <f>ROUND(IF(ISERROR(('Early Years'!G11+'Early Years'!G15+'Early Years'!$G$19/3+'Early Years'!$G$20/3)*0.6),"",('Early Years'!G11+'Early Years'!G15+'Early Years'!$G$19/3+'Early Years'!$G$20/3)*0.6),0)</f>
        <v>0</v>
      </c>
      <c r="I24" s="828"/>
      <c r="J24" s="828"/>
      <c r="K24" s="829">
        <f>'Early Years'!G11+'Early Years'!G15+'Early Years'!$G$19/3+'Early Years'!$G$20/3-Income!H24</f>
        <v>0</v>
      </c>
      <c r="L24" s="828"/>
      <c r="M24" s="828">
        <f>ROUND(IF(ISERROR(('Early Years'!G12+'Early Years'!G16+'Early Years'!$G$19/3+'Early Years'!$G$20/3)*0.6),"",('Early Years'!G12+'Early Years'!G16+'Early Years'!$G$19/3+'Early Years'!$G$20/3)*0.6),0)</f>
        <v>0</v>
      </c>
      <c r="N24" s="828"/>
      <c r="O24" s="828"/>
      <c r="P24" s="828">
        <f>'Early Years'!G12+'Early Years'!G16+'Early Years'!$G$19/3+'Early Years'!$G$20/3-Income!M24</f>
        <v>0</v>
      </c>
      <c r="Q24" s="828">
        <f>ROUND(IF(ISERROR(('Early Years'!G13+'Early Years'!G17+'Early Years'!$G$19/3+'Early Years'!$G$20/3)*0.6),"",('Early Years'!G13+'Early Years'!G17+'Early Years'!$G$19/3+'Early Years'!$G$20/3)*0.6),0)</f>
        <v>0</v>
      </c>
      <c r="R24" s="828"/>
      <c r="S24" s="828">
        <f>'Early Years'!G13+'Early Years'!G17+'Early Years'!$G$19/3+'Early Years'!$G$20/3-Income!Q24</f>
        <v>0</v>
      </c>
      <c r="T24" s="303">
        <f t="shared" ref="T24:T26" si="12">D24</f>
        <v>0</v>
      </c>
      <c r="U24" s="425">
        <f t="shared" si="10"/>
        <v>0</v>
      </c>
      <c r="V24" s="322">
        <f t="shared" si="11"/>
        <v>0</v>
      </c>
    </row>
    <row r="25" spans="1:22" x14ac:dyDescent="0.2">
      <c r="A25" s="130" t="s">
        <v>702</v>
      </c>
      <c r="B25" s="120" t="s">
        <v>722</v>
      </c>
      <c r="C25" s="121" t="str">
        <f>IF(D25='Additional Funding'!M$31,"Estimate calculation from Additional Funding worksheet","")</f>
        <v>Estimate calculation from Additional Funding worksheet</v>
      </c>
      <c r="D25" s="237">
        <f>'Additional Funding'!M$31</f>
        <v>10760</v>
      </c>
      <c r="E25" s="223"/>
      <c r="G25" s="432" t="s">
        <v>291</v>
      </c>
      <c r="H25" s="828"/>
      <c r="I25" s="828"/>
      <c r="J25" s="828"/>
      <c r="K25" s="828">
        <f>ROUND(D25*5/12,0)</f>
        <v>4483</v>
      </c>
      <c r="L25" s="828"/>
      <c r="M25" s="828"/>
      <c r="N25" s="828"/>
      <c r="O25" s="828"/>
      <c r="P25" s="828">
        <f>ROUND(D25*4/12,0)</f>
        <v>3587</v>
      </c>
      <c r="Q25" s="828"/>
      <c r="R25" s="828"/>
      <c r="S25" s="828">
        <f>ROUND(D25-K25-P25,0)</f>
        <v>2690</v>
      </c>
      <c r="T25" s="303">
        <f t="shared" si="12"/>
        <v>10760</v>
      </c>
      <c r="U25" s="425">
        <f t="shared" si="10"/>
        <v>0</v>
      </c>
      <c r="V25" s="322">
        <f t="shared" si="11"/>
        <v>0</v>
      </c>
    </row>
    <row r="26" spans="1:22" x14ac:dyDescent="0.2">
      <c r="A26" s="397" t="s">
        <v>295</v>
      </c>
      <c r="B26" s="594" t="s">
        <v>804</v>
      </c>
      <c r="C26" s="121" t="str">
        <f>IF(D26='Additional Funding'!K$75,"Estimate calculation from Additional Funding worksheet","")</f>
        <v>Estimate calculation from Additional Funding worksheet</v>
      </c>
      <c r="D26" s="230">
        <f>'Additional Funding'!K$75</f>
        <v>9157</v>
      </c>
      <c r="E26" s="223"/>
      <c r="G26" s="432" t="s">
        <v>291</v>
      </c>
      <c r="H26" s="828"/>
      <c r="I26" s="828"/>
      <c r="J26" s="828"/>
      <c r="K26" s="828"/>
      <c r="L26" s="828"/>
      <c r="M26" s="828"/>
      <c r="N26" s="828"/>
      <c r="O26" s="828"/>
      <c r="P26" s="828"/>
      <c r="Q26" s="828">
        <f>D26</f>
        <v>9157</v>
      </c>
      <c r="R26" s="828"/>
      <c r="S26" s="828"/>
      <c r="T26" s="303">
        <f t="shared" si="12"/>
        <v>9157</v>
      </c>
      <c r="U26" s="425"/>
      <c r="V26" s="322"/>
    </row>
    <row r="27" spans="1:22" x14ac:dyDescent="0.2">
      <c r="A27" s="585" t="s">
        <v>817</v>
      </c>
      <c r="B27" s="594" t="s">
        <v>823</v>
      </c>
      <c r="C27" s="121" t="str">
        <f>IF(D27='Additional Funding'!M101,"Estimate calculation from Additional Funding worksheet","")</f>
        <v>Estimate calculation from Additional Funding worksheet</v>
      </c>
      <c r="D27" s="230">
        <f>ROUND('Additional Funding'!M101,0)</f>
        <v>13419</v>
      </c>
      <c r="E27" s="223"/>
      <c r="G27" s="667" t="s">
        <v>291</v>
      </c>
      <c r="H27" s="828"/>
      <c r="I27" s="828"/>
      <c r="J27" s="828"/>
      <c r="K27" s="828">
        <f>D27</f>
        <v>13419</v>
      </c>
      <c r="L27" s="828"/>
      <c r="M27" s="828"/>
      <c r="N27" s="828"/>
      <c r="O27" s="828"/>
      <c r="P27" s="828"/>
      <c r="Q27" s="828"/>
      <c r="R27" s="828"/>
      <c r="S27" s="828"/>
      <c r="T27" s="303">
        <f t="shared" si="9"/>
        <v>13419</v>
      </c>
      <c r="U27" s="425">
        <f t="shared" si="10"/>
        <v>0</v>
      </c>
      <c r="V27" s="322">
        <f t="shared" si="11"/>
        <v>0</v>
      </c>
    </row>
    <row r="28" spans="1:22" x14ac:dyDescent="0.2">
      <c r="A28" s="585" t="s">
        <v>818</v>
      </c>
      <c r="B28" s="594" t="s">
        <v>823</v>
      </c>
      <c r="C28" s="121" t="str">
        <f>IF(D28='Additional Funding'!M115,"Estimate calculation from Additional Funding worksheet","")</f>
        <v>Estimate calculation from Additional Funding worksheet</v>
      </c>
      <c r="D28" s="230">
        <f>'Additional Funding'!M115</f>
        <v>16730</v>
      </c>
      <c r="E28" s="223"/>
      <c r="G28" s="432" t="s">
        <v>291</v>
      </c>
      <c r="H28" s="828">
        <f>'Additional Funding'!M109</f>
        <v>6971</v>
      </c>
      <c r="I28" s="828"/>
      <c r="J28" s="828"/>
      <c r="K28" s="828"/>
      <c r="L28" s="828"/>
      <c r="M28" s="828"/>
      <c r="N28" s="828"/>
      <c r="O28" s="828">
        <f>'Additional Funding'!M113</f>
        <v>9759</v>
      </c>
      <c r="P28" s="828"/>
      <c r="Q28" s="828"/>
      <c r="R28" s="828"/>
      <c r="S28" s="828"/>
      <c r="T28" s="303">
        <f t="shared" si="9"/>
        <v>16730</v>
      </c>
      <c r="U28" s="425">
        <f t="shared" si="10"/>
        <v>0</v>
      </c>
      <c r="V28" s="322">
        <f t="shared" si="11"/>
        <v>0</v>
      </c>
    </row>
    <row r="29" spans="1:22" x14ac:dyDescent="0.2">
      <c r="A29" s="558" t="s">
        <v>1069</v>
      </c>
      <c r="B29" s="176"/>
      <c r="C29" s="1003" t="s">
        <v>1091</v>
      </c>
      <c r="D29" s="230">
        <v>4846</v>
      </c>
      <c r="E29" s="223"/>
      <c r="G29" s="290" t="s">
        <v>291</v>
      </c>
      <c r="H29" s="307">
        <v>1575</v>
      </c>
      <c r="I29" s="307" t="str">
        <f t="shared" ref="I29:J43" si="13">IF($G29="Monthly",$D29/12,IF($G29="Quarterly (From April)",0,IF($G29="Termly",0,IF($G29="Monthly (excl. August)",$D29/11,""))))</f>
        <v/>
      </c>
      <c r="J29" s="307" t="str">
        <f t="shared" si="13"/>
        <v/>
      </c>
      <c r="K29" s="307" t="str">
        <f t="shared" ref="K29:K43" si="14">IF($G29="Monthly",$D29/12,IF($G29="Quarterly (From April)",$D29/4,IF($G29="Termly",0,IF($G29="Monthly (excl. August)",$D29/11,""))))</f>
        <v/>
      </c>
      <c r="L29" s="307" t="str">
        <f t="shared" ref="L29:L43" si="15">IF($G29="Monthly",$D29/12,IF($G29="Quarterly (From April)",0,IF($G29="Termly",0,IF($G29="Monthly (excl. August)",0,""))))</f>
        <v/>
      </c>
      <c r="M29" s="307" t="str">
        <f t="shared" ref="M29:M43" si="16">IF($G29="Monthly",$D29/12,IF($G29="Quarterly (From April)",0,IF($G29="Termly",$D29/3,IF($G29="Monthly (excl. August)",$D29/11,""))))</f>
        <v/>
      </c>
      <c r="N29" s="307" t="str">
        <f t="shared" ref="N29:N43" si="17">IF($G29="Monthly",$D29/12,IF($G29="Quarterly (From April)",$D29/4,IF($G29="Termly",0,IF($G29="Monthly (excl. August)",$D29/11,""))))</f>
        <v/>
      </c>
      <c r="O29" s="307">
        <v>2205</v>
      </c>
      <c r="P29" s="307" t="str">
        <f t="shared" ref="O29:P43" si="18">IF($G29="Monthly",$D29/12,IF($G29="Quarterly (From April)",0,IF($G29="Termly",0,IF($G29="Monthly (excl. August)",$D29/11,""))))</f>
        <v/>
      </c>
      <c r="Q29" s="307" t="str">
        <f t="shared" ref="Q29:Q43" si="19">IF($G29="Monthly",$D29/12,IF($G29="Quarterly (From April)",$D29/4,IF($G29="Termly",$D29/3,IF($G29="Monthly (excl. August)",$D29/11,""))))</f>
        <v/>
      </c>
      <c r="R29" s="307" t="str">
        <f t="shared" ref="R29:S43" si="20">IF($G29="Monthly",$D29/12,IF($G29="Quarterly (From April)",0,IF($G29="Termly",0,IF($G29="Monthly (excl. August)",$D29/11,""))))</f>
        <v/>
      </c>
      <c r="S29" s="307" t="str">
        <f t="shared" si="20"/>
        <v/>
      </c>
      <c r="T29" s="303">
        <f t="shared" si="9"/>
        <v>4846</v>
      </c>
      <c r="U29" s="425">
        <f t="shared" si="10"/>
        <v>1</v>
      </c>
      <c r="V29" s="322">
        <f t="shared" si="11"/>
        <v>-1066</v>
      </c>
    </row>
    <row r="30" spans="1:22" x14ac:dyDescent="0.2">
      <c r="A30" s="558" t="s">
        <v>1070</v>
      </c>
      <c r="B30" s="176"/>
      <c r="C30" s="1003" t="s">
        <v>1092</v>
      </c>
      <c r="D30" s="230">
        <v>13689</v>
      </c>
      <c r="E30" s="223"/>
      <c r="G30" s="290" t="s">
        <v>291</v>
      </c>
      <c r="H30" s="307">
        <v>4448.75</v>
      </c>
      <c r="I30" s="307" t="str">
        <f t="shared" si="13"/>
        <v/>
      </c>
      <c r="J30" s="307" t="str">
        <f t="shared" si="13"/>
        <v/>
      </c>
      <c r="K30" s="307" t="str">
        <f t="shared" si="14"/>
        <v/>
      </c>
      <c r="L30" s="307" t="str">
        <f t="shared" si="15"/>
        <v/>
      </c>
      <c r="M30" s="307" t="str">
        <f t="shared" si="16"/>
        <v/>
      </c>
      <c r="N30" s="307" t="str">
        <f t="shared" si="17"/>
        <v/>
      </c>
      <c r="O30" s="307">
        <v>6228</v>
      </c>
      <c r="P30" s="307" t="str">
        <f t="shared" si="18"/>
        <v/>
      </c>
      <c r="Q30" s="307" t="str">
        <f t="shared" si="19"/>
        <v/>
      </c>
      <c r="R30" s="307" t="str">
        <f t="shared" si="20"/>
        <v/>
      </c>
      <c r="S30" s="307" t="str">
        <f t="shared" si="20"/>
        <v/>
      </c>
      <c r="T30" s="303">
        <f t="shared" si="9"/>
        <v>13689</v>
      </c>
      <c r="U30" s="425">
        <f t="shared" si="10"/>
        <v>1</v>
      </c>
      <c r="V30" s="322">
        <f t="shared" si="11"/>
        <v>-3012</v>
      </c>
    </row>
    <row r="31" spans="1:22" x14ac:dyDescent="0.2">
      <c r="A31" s="558" t="s">
        <v>442</v>
      </c>
      <c r="B31" s="133"/>
      <c r="C31" s="121"/>
      <c r="D31" s="230"/>
      <c r="E31" s="223"/>
      <c r="G31" s="290" t="s">
        <v>267</v>
      </c>
      <c r="H31" s="307" t="str">
        <f t="shared" ref="H31:H43" si="21">IF($G31="Monthly",$D31/12,IF($G31="Quarterly (From April)",$D31/4,IF($G31="Termly",$D31/3,IF($G31="Monthly (excl. August)",$D31/11,""))))</f>
        <v/>
      </c>
      <c r="I31" s="307" t="str">
        <f t="shared" si="13"/>
        <v/>
      </c>
      <c r="J31" s="307" t="str">
        <f t="shared" si="13"/>
        <v/>
      </c>
      <c r="K31" s="307" t="str">
        <f t="shared" si="14"/>
        <v/>
      </c>
      <c r="L31" s="307" t="str">
        <f t="shared" si="15"/>
        <v/>
      </c>
      <c r="M31" s="307" t="str">
        <f t="shared" si="16"/>
        <v/>
      </c>
      <c r="N31" s="307" t="str">
        <f t="shared" si="17"/>
        <v/>
      </c>
      <c r="O31" s="307" t="str">
        <f t="shared" si="18"/>
        <v/>
      </c>
      <c r="P31" s="307" t="str">
        <f t="shared" si="18"/>
        <v/>
      </c>
      <c r="Q31" s="307" t="str">
        <f t="shared" si="19"/>
        <v/>
      </c>
      <c r="R31" s="307" t="str">
        <f t="shared" si="20"/>
        <v/>
      </c>
      <c r="S31" s="307" t="str">
        <f t="shared" si="20"/>
        <v/>
      </c>
      <c r="T31" s="303">
        <f t="shared" si="9"/>
        <v>0</v>
      </c>
      <c r="U31" s="425">
        <f t="shared" si="10"/>
        <v>0</v>
      </c>
      <c r="V31" s="322">
        <f t="shared" si="11"/>
        <v>0</v>
      </c>
    </row>
    <row r="32" spans="1:22" x14ac:dyDescent="0.2">
      <c r="A32" s="558" t="s">
        <v>442</v>
      </c>
      <c r="B32" s="133"/>
      <c r="C32" s="121"/>
      <c r="D32" s="230"/>
      <c r="E32" s="223"/>
      <c r="G32" s="290" t="s">
        <v>267</v>
      </c>
      <c r="H32" s="307" t="str">
        <f t="shared" si="21"/>
        <v/>
      </c>
      <c r="I32" s="307" t="str">
        <f t="shared" si="13"/>
        <v/>
      </c>
      <c r="J32" s="307" t="str">
        <f t="shared" si="13"/>
        <v/>
      </c>
      <c r="K32" s="307" t="str">
        <f t="shared" si="14"/>
        <v/>
      </c>
      <c r="L32" s="307" t="str">
        <f t="shared" si="15"/>
        <v/>
      </c>
      <c r="M32" s="307" t="str">
        <f t="shared" si="16"/>
        <v/>
      </c>
      <c r="N32" s="307" t="str">
        <f t="shared" si="17"/>
        <v/>
      </c>
      <c r="O32" s="307" t="str">
        <f t="shared" si="18"/>
        <v/>
      </c>
      <c r="P32" s="307" t="str">
        <f t="shared" si="18"/>
        <v/>
      </c>
      <c r="Q32" s="307" t="str">
        <f t="shared" si="19"/>
        <v/>
      </c>
      <c r="R32" s="307" t="str">
        <f t="shared" si="20"/>
        <v/>
      </c>
      <c r="S32" s="307" t="str">
        <f t="shared" si="20"/>
        <v/>
      </c>
      <c r="T32" s="303">
        <f t="shared" si="9"/>
        <v>0</v>
      </c>
      <c r="U32" s="425">
        <f t="shared" si="10"/>
        <v>0</v>
      </c>
      <c r="V32" s="322">
        <f t="shared" si="11"/>
        <v>0</v>
      </c>
    </row>
    <row r="33" spans="1:22" x14ac:dyDescent="0.2">
      <c r="A33" s="558" t="s">
        <v>442</v>
      </c>
      <c r="B33" s="133"/>
      <c r="C33" s="121"/>
      <c r="D33" s="230"/>
      <c r="E33" s="223"/>
      <c r="G33" s="290" t="s">
        <v>267</v>
      </c>
      <c r="H33" s="307" t="str">
        <f t="shared" si="21"/>
        <v/>
      </c>
      <c r="I33" s="307" t="str">
        <f t="shared" si="13"/>
        <v/>
      </c>
      <c r="J33" s="307" t="str">
        <f t="shared" si="13"/>
        <v/>
      </c>
      <c r="K33" s="307" t="str">
        <f t="shared" si="14"/>
        <v/>
      </c>
      <c r="L33" s="307" t="str">
        <f t="shared" si="15"/>
        <v/>
      </c>
      <c r="M33" s="307" t="str">
        <f t="shared" si="16"/>
        <v/>
      </c>
      <c r="N33" s="307" t="str">
        <f t="shared" si="17"/>
        <v/>
      </c>
      <c r="O33" s="307" t="str">
        <f t="shared" si="18"/>
        <v/>
      </c>
      <c r="P33" s="307" t="str">
        <f t="shared" si="18"/>
        <v/>
      </c>
      <c r="Q33" s="307" t="str">
        <f t="shared" si="19"/>
        <v/>
      </c>
      <c r="R33" s="307" t="str">
        <f t="shared" si="20"/>
        <v/>
      </c>
      <c r="S33" s="307" t="str">
        <f t="shared" si="20"/>
        <v/>
      </c>
      <c r="T33" s="303">
        <f t="shared" si="9"/>
        <v>0</v>
      </c>
      <c r="U33" s="425">
        <f t="shared" si="10"/>
        <v>0</v>
      </c>
      <c r="V33" s="322">
        <f t="shared" si="11"/>
        <v>0</v>
      </c>
    </row>
    <row r="34" spans="1:22" x14ac:dyDescent="0.2">
      <c r="A34" s="558" t="s">
        <v>442</v>
      </c>
      <c r="B34" s="133"/>
      <c r="C34" s="121"/>
      <c r="D34" s="230"/>
      <c r="E34" s="223"/>
      <c r="G34" s="290" t="s">
        <v>267</v>
      </c>
      <c r="H34" s="307" t="str">
        <f t="shared" si="21"/>
        <v/>
      </c>
      <c r="I34" s="307" t="str">
        <f t="shared" si="13"/>
        <v/>
      </c>
      <c r="J34" s="307" t="str">
        <f t="shared" si="13"/>
        <v/>
      </c>
      <c r="K34" s="307" t="str">
        <f t="shared" si="14"/>
        <v/>
      </c>
      <c r="L34" s="307" t="str">
        <f t="shared" si="15"/>
        <v/>
      </c>
      <c r="M34" s="307" t="str">
        <f t="shared" si="16"/>
        <v/>
      </c>
      <c r="N34" s="307" t="str">
        <f t="shared" si="17"/>
        <v/>
      </c>
      <c r="O34" s="307" t="str">
        <f t="shared" si="18"/>
        <v/>
      </c>
      <c r="P34" s="307" t="str">
        <f t="shared" si="18"/>
        <v/>
      </c>
      <c r="Q34" s="307" t="str">
        <f t="shared" si="19"/>
        <v/>
      </c>
      <c r="R34" s="307" t="str">
        <f t="shared" si="20"/>
        <v/>
      </c>
      <c r="S34" s="307" t="str">
        <f t="shared" si="20"/>
        <v/>
      </c>
      <c r="T34" s="303">
        <f t="shared" si="9"/>
        <v>0</v>
      </c>
      <c r="U34" s="425">
        <f t="shared" si="10"/>
        <v>0</v>
      </c>
      <c r="V34" s="322">
        <f t="shared" si="11"/>
        <v>0</v>
      </c>
    </row>
    <row r="35" spans="1:22" x14ac:dyDescent="0.2">
      <c r="A35" s="558" t="s">
        <v>442</v>
      </c>
      <c r="B35" s="133"/>
      <c r="C35" s="121"/>
      <c r="D35" s="230"/>
      <c r="E35" s="223"/>
      <c r="G35" s="290" t="s">
        <v>267</v>
      </c>
      <c r="H35" s="307" t="str">
        <f t="shared" si="21"/>
        <v/>
      </c>
      <c r="I35" s="307" t="str">
        <f t="shared" si="13"/>
        <v/>
      </c>
      <c r="J35" s="307" t="str">
        <f t="shared" si="13"/>
        <v/>
      </c>
      <c r="K35" s="307" t="str">
        <f t="shared" si="14"/>
        <v/>
      </c>
      <c r="L35" s="307" t="str">
        <f t="shared" si="15"/>
        <v/>
      </c>
      <c r="M35" s="307" t="str">
        <f t="shared" si="16"/>
        <v/>
      </c>
      <c r="N35" s="307" t="str">
        <f t="shared" si="17"/>
        <v/>
      </c>
      <c r="O35" s="307" t="str">
        <f t="shared" si="18"/>
        <v/>
      </c>
      <c r="P35" s="307" t="str">
        <f t="shared" si="18"/>
        <v/>
      </c>
      <c r="Q35" s="307" t="str">
        <f t="shared" si="19"/>
        <v/>
      </c>
      <c r="R35" s="307" t="str">
        <f t="shared" si="20"/>
        <v/>
      </c>
      <c r="S35" s="307" t="str">
        <f t="shared" si="20"/>
        <v/>
      </c>
      <c r="T35" s="303">
        <f t="shared" si="9"/>
        <v>0</v>
      </c>
      <c r="U35" s="425">
        <f t="shared" si="10"/>
        <v>0</v>
      </c>
      <c r="V35" s="322">
        <f t="shared" si="11"/>
        <v>0</v>
      </c>
    </row>
    <row r="36" spans="1:22" x14ac:dyDescent="0.2">
      <c r="A36" s="558" t="s">
        <v>442</v>
      </c>
      <c r="B36" s="133"/>
      <c r="C36" s="121"/>
      <c r="D36" s="230"/>
      <c r="E36" s="223"/>
      <c r="G36" s="290" t="s">
        <v>267</v>
      </c>
      <c r="H36" s="307" t="str">
        <f t="shared" si="21"/>
        <v/>
      </c>
      <c r="I36" s="307" t="str">
        <f t="shared" si="13"/>
        <v/>
      </c>
      <c r="J36" s="307" t="str">
        <f t="shared" si="13"/>
        <v/>
      </c>
      <c r="K36" s="307" t="str">
        <f t="shared" si="14"/>
        <v/>
      </c>
      <c r="L36" s="307" t="str">
        <f t="shared" si="15"/>
        <v/>
      </c>
      <c r="M36" s="307" t="str">
        <f t="shared" si="16"/>
        <v/>
      </c>
      <c r="N36" s="307" t="str">
        <f t="shared" si="17"/>
        <v/>
      </c>
      <c r="O36" s="307" t="str">
        <f t="shared" si="18"/>
        <v/>
      </c>
      <c r="P36" s="307" t="str">
        <f t="shared" si="18"/>
        <v/>
      </c>
      <c r="Q36" s="307" t="str">
        <f t="shared" si="19"/>
        <v/>
      </c>
      <c r="R36" s="307" t="str">
        <f t="shared" si="20"/>
        <v/>
      </c>
      <c r="S36" s="307" t="str">
        <f t="shared" si="20"/>
        <v/>
      </c>
      <c r="T36" s="303">
        <f t="shared" si="9"/>
        <v>0</v>
      </c>
      <c r="U36" s="425">
        <f t="shared" si="10"/>
        <v>0</v>
      </c>
      <c r="V36" s="322">
        <f t="shared" si="11"/>
        <v>0</v>
      </c>
    </row>
    <row r="37" spans="1:22" x14ac:dyDescent="0.2">
      <c r="A37" s="558" t="s">
        <v>442</v>
      </c>
      <c r="B37" s="133"/>
      <c r="C37" s="121"/>
      <c r="D37" s="230"/>
      <c r="E37" s="223"/>
      <c r="G37" s="290" t="s">
        <v>267</v>
      </c>
      <c r="H37" s="307" t="str">
        <f t="shared" si="21"/>
        <v/>
      </c>
      <c r="I37" s="307" t="str">
        <f t="shared" si="13"/>
        <v/>
      </c>
      <c r="J37" s="307" t="str">
        <f t="shared" si="13"/>
        <v/>
      </c>
      <c r="K37" s="307" t="str">
        <f t="shared" si="14"/>
        <v/>
      </c>
      <c r="L37" s="307" t="str">
        <f t="shared" si="15"/>
        <v/>
      </c>
      <c r="M37" s="307" t="str">
        <f t="shared" si="16"/>
        <v/>
      </c>
      <c r="N37" s="307" t="str">
        <f t="shared" si="17"/>
        <v/>
      </c>
      <c r="O37" s="307" t="str">
        <f t="shared" si="18"/>
        <v/>
      </c>
      <c r="P37" s="307" t="str">
        <f t="shared" si="18"/>
        <v/>
      </c>
      <c r="Q37" s="307" t="str">
        <f t="shared" si="19"/>
        <v/>
      </c>
      <c r="R37" s="307" t="str">
        <f t="shared" si="20"/>
        <v/>
      </c>
      <c r="S37" s="307" t="str">
        <f t="shared" si="20"/>
        <v/>
      </c>
      <c r="T37" s="303">
        <f t="shared" si="9"/>
        <v>0</v>
      </c>
      <c r="U37" s="425">
        <f t="shared" si="10"/>
        <v>0</v>
      </c>
      <c r="V37" s="322">
        <f t="shared" si="11"/>
        <v>0</v>
      </c>
    </row>
    <row r="38" spans="1:22" x14ac:dyDescent="0.2">
      <c r="A38" s="558" t="s">
        <v>442</v>
      </c>
      <c r="B38" s="133"/>
      <c r="C38" s="121"/>
      <c r="D38" s="230"/>
      <c r="E38" s="223"/>
      <c r="G38" s="290" t="s">
        <v>267</v>
      </c>
      <c r="H38" s="307" t="str">
        <f t="shared" si="21"/>
        <v/>
      </c>
      <c r="I38" s="307" t="str">
        <f t="shared" si="13"/>
        <v/>
      </c>
      <c r="J38" s="307" t="str">
        <f t="shared" si="13"/>
        <v/>
      </c>
      <c r="K38" s="307" t="str">
        <f t="shared" si="14"/>
        <v/>
      </c>
      <c r="L38" s="307" t="str">
        <f t="shared" si="15"/>
        <v/>
      </c>
      <c r="M38" s="307" t="str">
        <f t="shared" si="16"/>
        <v/>
      </c>
      <c r="N38" s="307" t="str">
        <f t="shared" si="17"/>
        <v/>
      </c>
      <c r="O38" s="307" t="str">
        <f t="shared" si="18"/>
        <v/>
      </c>
      <c r="P38" s="307" t="str">
        <f t="shared" si="18"/>
        <v/>
      </c>
      <c r="Q38" s="307" t="str">
        <f t="shared" si="19"/>
        <v/>
      </c>
      <c r="R38" s="307" t="str">
        <f t="shared" si="20"/>
        <v/>
      </c>
      <c r="S38" s="307" t="str">
        <f t="shared" si="20"/>
        <v/>
      </c>
      <c r="T38" s="303">
        <f t="shared" si="9"/>
        <v>0</v>
      </c>
      <c r="U38" s="425">
        <f t="shared" si="10"/>
        <v>0</v>
      </c>
      <c r="V38" s="322">
        <f t="shared" si="11"/>
        <v>0</v>
      </c>
    </row>
    <row r="39" spans="1:22" x14ac:dyDescent="0.2">
      <c r="A39" s="558" t="s">
        <v>442</v>
      </c>
      <c r="B39" s="133"/>
      <c r="C39" s="121"/>
      <c r="D39" s="230"/>
      <c r="E39" s="223"/>
      <c r="G39" s="290" t="s">
        <v>267</v>
      </c>
      <c r="H39" s="307" t="str">
        <f t="shared" si="21"/>
        <v/>
      </c>
      <c r="I39" s="307" t="str">
        <f t="shared" si="13"/>
        <v/>
      </c>
      <c r="J39" s="307" t="str">
        <f t="shared" si="13"/>
        <v/>
      </c>
      <c r="K39" s="307" t="str">
        <f t="shared" si="14"/>
        <v/>
      </c>
      <c r="L39" s="307" t="str">
        <f t="shared" si="15"/>
        <v/>
      </c>
      <c r="M39" s="307" t="str">
        <f t="shared" si="16"/>
        <v/>
      </c>
      <c r="N39" s="307" t="str">
        <f t="shared" si="17"/>
        <v/>
      </c>
      <c r="O39" s="307" t="str">
        <f t="shared" si="18"/>
        <v/>
      </c>
      <c r="P39" s="307" t="str">
        <f t="shared" si="18"/>
        <v/>
      </c>
      <c r="Q39" s="307" t="str">
        <f t="shared" si="19"/>
        <v/>
      </c>
      <c r="R39" s="307" t="str">
        <f t="shared" si="20"/>
        <v/>
      </c>
      <c r="S39" s="307" t="str">
        <f t="shared" si="20"/>
        <v/>
      </c>
      <c r="T39" s="303">
        <f t="shared" si="9"/>
        <v>0</v>
      </c>
      <c r="U39" s="425">
        <f t="shared" si="10"/>
        <v>0</v>
      </c>
      <c r="V39" s="322">
        <f t="shared" si="11"/>
        <v>0</v>
      </c>
    </row>
    <row r="40" spans="1:22" x14ac:dyDescent="0.2">
      <c r="A40" s="558" t="s">
        <v>442</v>
      </c>
      <c r="B40" s="133"/>
      <c r="C40" s="121"/>
      <c r="D40" s="230"/>
      <c r="E40" s="223"/>
      <c r="G40" s="290" t="s">
        <v>267</v>
      </c>
      <c r="H40" s="307" t="str">
        <f t="shared" si="21"/>
        <v/>
      </c>
      <c r="I40" s="307" t="str">
        <f t="shared" si="13"/>
        <v/>
      </c>
      <c r="J40" s="307" t="str">
        <f t="shared" si="13"/>
        <v/>
      </c>
      <c r="K40" s="307" t="str">
        <f t="shared" si="14"/>
        <v/>
      </c>
      <c r="L40" s="307" t="str">
        <f t="shared" si="15"/>
        <v/>
      </c>
      <c r="M40" s="307" t="str">
        <f t="shared" si="16"/>
        <v/>
      </c>
      <c r="N40" s="307" t="str">
        <f t="shared" si="17"/>
        <v/>
      </c>
      <c r="O40" s="307" t="str">
        <f t="shared" si="18"/>
        <v/>
      </c>
      <c r="P40" s="307" t="str">
        <f t="shared" si="18"/>
        <v/>
      </c>
      <c r="Q40" s="307" t="str">
        <f t="shared" si="19"/>
        <v/>
      </c>
      <c r="R40" s="307" t="str">
        <f t="shared" si="20"/>
        <v/>
      </c>
      <c r="S40" s="307" t="str">
        <f t="shared" si="20"/>
        <v/>
      </c>
      <c r="T40" s="303">
        <f t="shared" si="9"/>
        <v>0</v>
      </c>
      <c r="U40" s="425">
        <f t="shared" si="10"/>
        <v>0</v>
      </c>
      <c r="V40" s="322">
        <f t="shared" si="11"/>
        <v>0</v>
      </c>
    </row>
    <row r="41" spans="1:22" x14ac:dyDescent="0.2">
      <c r="A41" s="558" t="s">
        <v>442</v>
      </c>
      <c r="B41" s="133"/>
      <c r="C41" s="121"/>
      <c r="D41" s="230"/>
      <c r="E41" s="223"/>
      <c r="G41" s="290" t="s">
        <v>267</v>
      </c>
      <c r="H41" s="307" t="str">
        <f t="shared" si="21"/>
        <v/>
      </c>
      <c r="I41" s="307" t="str">
        <f t="shared" si="13"/>
        <v/>
      </c>
      <c r="J41" s="307" t="str">
        <f t="shared" si="13"/>
        <v/>
      </c>
      <c r="K41" s="307" t="str">
        <f t="shared" si="14"/>
        <v/>
      </c>
      <c r="L41" s="307" t="str">
        <f t="shared" si="15"/>
        <v/>
      </c>
      <c r="M41" s="307" t="str">
        <f t="shared" si="16"/>
        <v/>
      </c>
      <c r="N41" s="307" t="str">
        <f t="shared" si="17"/>
        <v/>
      </c>
      <c r="O41" s="307" t="str">
        <f t="shared" si="18"/>
        <v/>
      </c>
      <c r="P41" s="307" t="str">
        <f t="shared" si="18"/>
        <v/>
      </c>
      <c r="Q41" s="307" t="str">
        <f t="shared" si="19"/>
        <v/>
      </c>
      <c r="R41" s="307" t="str">
        <f t="shared" si="20"/>
        <v/>
      </c>
      <c r="S41" s="307" t="str">
        <f t="shared" si="20"/>
        <v/>
      </c>
      <c r="T41" s="303">
        <f t="shared" si="9"/>
        <v>0</v>
      </c>
      <c r="U41" s="425">
        <f t="shared" si="10"/>
        <v>0</v>
      </c>
      <c r="V41" s="322">
        <f t="shared" si="11"/>
        <v>0</v>
      </c>
    </row>
    <row r="42" spans="1:22" x14ac:dyDescent="0.2">
      <c r="A42" s="558" t="s">
        <v>442</v>
      </c>
      <c r="B42" s="133"/>
      <c r="C42" s="121"/>
      <c r="D42" s="230"/>
      <c r="E42" s="223"/>
      <c r="G42" s="290" t="s">
        <v>267</v>
      </c>
      <c r="H42" s="307" t="str">
        <f t="shared" si="21"/>
        <v/>
      </c>
      <c r="I42" s="307" t="str">
        <f t="shared" si="13"/>
        <v/>
      </c>
      <c r="J42" s="307" t="str">
        <f t="shared" si="13"/>
        <v/>
      </c>
      <c r="K42" s="307" t="str">
        <f t="shared" si="14"/>
        <v/>
      </c>
      <c r="L42" s="307" t="str">
        <f t="shared" si="15"/>
        <v/>
      </c>
      <c r="M42" s="307" t="str">
        <f t="shared" si="16"/>
        <v/>
      </c>
      <c r="N42" s="307" t="str">
        <f t="shared" si="17"/>
        <v/>
      </c>
      <c r="O42" s="307" t="str">
        <f t="shared" si="18"/>
        <v/>
      </c>
      <c r="P42" s="307" t="str">
        <f t="shared" si="18"/>
        <v/>
      </c>
      <c r="Q42" s="307" t="str">
        <f t="shared" si="19"/>
        <v/>
      </c>
      <c r="R42" s="307" t="str">
        <f t="shared" si="20"/>
        <v/>
      </c>
      <c r="S42" s="307" t="str">
        <f t="shared" si="20"/>
        <v/>
      </c>
      <c r="T42" s="303">
        <f t="shared" si="9"/>
        <v>0</v>
      </c>
      <c r="U42" s="425">
        <f t="shared" si="10"/>
        <v>0</v>
      </c>
      <c r="V42" s="322">
        <f t="shared" si="11"/>
        <v>0</v>
      </c>
    </row>
    <row r="43" spans="1:22" ht="13.5" thickBot="1" x14ac:dyDescent="0.25">
      <c r="A43" s="613" t="s">
        <v>442</v>
      </c>
      <c r="B43" s="134"/>
      <c r="C43" s="123"/>
      <c r="D43" s="231"/>
      <c r="E43" s="399">
        <f>SUM(D19:D43)</f>
        <v>476733</v>
      </c>
      <c r="G43" s="290" t="s">
        <v>267</v>
      </c>
      <c r="H43" s="307" t="str">
        <f t="shared" si="21"/>
        <v/>
      </c>
      <c r="I43" s="307" t="str">
        <f t="shared" si="13"/>
        <v/>
      </c>
      <c r="J43" s="307" t="str">
        <f t="shared" si="13"/>
        <v/>
      </c>
      <c r="K43" s="307" t="str">
        <f t="shared" si="14"/>
        <v/>
      </c>
      <c r="L43" s="307" t="str">
        <f t="shared" si="15"/>
        <v/>
      </c>
      <c r="M43" s="307" t="str">
        <f t="shared" si="16"/>
        <v/>
      </c>
      <c r="N43" s="307" t="str">
        <f t="shared" si="17"/>
        <v/>
      </c>
      <c r="O43" s="307" t="str">
        <f t="shared" si="18"/>
        <v/>
      </c>
      <c r="P43" s="307" t="str">
        <f t="shared" si="18"/>
        <v/>
      </c>
      <c r="Q43" s="307" t="str">
        <f t="shared" si="19"/>
        <v/>
      </c>
      <c r="R43" s="307" t="str">
        <f t="shared" si="20"/>
        <v/>
      </c>
      <c r="S43" s="307" t="str">
        <f t="shared" si="20"/>
        <v/>
      </c>
      <c r="T43" s="303">
        <f t="shared" si="9"/>
        <v>0</v>
      </c>
      <c r="U43" s="425">
        <f t="shared" si="10"/>
        <v>0</v>
      </c>
      <c r="V43" s="322">
        <f t="shared" si="11"/>
        <v>0</v>
      </c>
    </row>
    <row r="44" spans="1:22" ht="13.5" thickBot="1" x14ac:dyDescent="0.25">
      <c r="A44" s="77"/>
      <c r="B44" s="78"/>
      <c r="D44" s="232"/>
      <c r="E44" s="232"/>
      <c r="F44" s="62"/>
    </row>
    <row r="45" spans="1:22" ht="39" thickBot="1" x14ac:dyDescent="0.25">
      <c r="A45" s="66" t="s">
        <v>408</v>
      </c>
      <c r="B45" s="67" t="s">
        <v>686</v>
      </c>
      <c r="C45" s="68" t="s">
        <v>529</v>
      </c>
      <c r="D45" s="233" t="s">
        <v>531</v>
      </c>
      <c r="E45" s="234" t="s">
        <v>531</v>
      </c>
    </row>
    <row r="46" spans="1:22" ht="15" customHeight="1" x14ac:dyDescent="0.2">
      <c r="A46" s="203" t="s">
        <v>685</v>
      </c>
      <c r="B46" s="75"/>
      <c r="C46" s="76"/>
      <c r="D46" s="235"/>
      <c r="E46" s="236"/>
    </row>
    <row r="47" spans="1:22" x14ac:dyDescent="0.2">
      <c r="A47" s="174" t="s">
        <v>715</v>
      </c>
      <c r="B47" s="173">
        <v>8086</v>
      </c>
      <c r="C47" s="121"/>
      <c r="D47" s="222"/>
      <c r="E47" s="223"/>
      <c r="G47" s="290" t="s">
        <v>267</v>
      </c>
      <c r="H47" s="307" t="str">
        <f t="shared" ref="H47:H61" si="22">IF($G47="Monthly",$D47/12,IF($G47="Quarterly (From April)",$D47/4,IF($G47="Termly",$D47/3,IF($G47="Monthly (excl. August)",$D47/11,""))))</f>
        <v/>
      </c>
      <c r="I47" s="307" t="str">
        <f t="shared" ref="I47:J61" si="23">IF($G47="Monthly",$D47/12,IF($G47="Quarterly (From April)",0,IF($G47="Termly",0,IF($G47="Monthly (excl. August)",$D47/11,""))))</f>
        <v/>
      </c>
      <c r="J47" s="307" t="str">
        <f t="shared" si="23"/>
        <v/>
      </c>
      <c r="K47" s="307" t="str">
        <f t="shared" ref="K47:K61" si="24">IF($G47="Monthly",$D47/12,IF($G47="Quarterly (From April)",$D47/4,IF($G47="Termly",0,IF($G47="Monthly (excl. August)",$D47/11,""))))</f>
        <v/>
      </c>
      <c r="L47" s="307" t="str">
        <f t="shared" ref="L47:L61" si="25">IF($G47="Monthly",$D47/12,IF($G47="Quarterly (From April)",0,IF($G47="Termly",0,IF($G47="Monthly (excl. August)",0,""))))</f>
        <v/>
      </c>
      <c r="M47" s="307" t="str">
        <f t="shared" ref="M47:M61" si="26">IF($G47="Monthly",$D47/12,IF($G47="Quarterly (From April)",0,IF($G47="Termly",$D47/3,IF($G47="Monthly (excl. August)",$D47/11,""))))</f>
        <v/>
      </c>
      <c r="N47" s="307" t="str">
        <f t="shared" ref="N47:N61" si="27">IF($G47="Monthly",$D47/12,IF($G47="Quarterly (From April)",$D47/4,IF($G47="Termly",0,IF($G47="Monthly (excl. August)",$D47/11,""))))</f>
        <v/>
      </c>
      <c r="O47" s="307" t="str">
        <f t="shared" ref="O47:P61" si="28">IF($G47="Monthly",$D47/12,IF($G47="Quarterly (From April)",0,IF($G47="Termly",0,IF($G47="Monthly (excl. August)",$D47/11,""))))</f>
        <v/>
      </c>
      <c r="P47" s="307" t="str">
        <f t="shared" si="28"/>
        <v/>
      </c>
      <c r="Q47" s="307" t="str">
        <f t="shared" ref="Q47:Q61" si="29">IF($G47="Monthly",$D47/12,IF($G47="Quarterly (From April)",$D47/4,IF($G47="Termly",$D47/3,IF($G47="Monthly (excl. August)",$D47/11,""))))</f>
        <v/>
      </c>
      <c r="R47" s="307" t="str">
        <f t="shared" ref="R47:S61" si="30">IF($G47="Monthly",$D47/12,IF($G47="Quarterly (From April)",0,IF($G47="Termly",0,IF($G47="Monthly (excl. August)",$D47/11,""))))</f>
        <v/>
      </c>
      <c r="S47" s="307" t="str">
        <f t="shared" si="30"/>
        <v/>
      </c>
      <c r="T47" s="303">
        <f t="shared" ref="T47:T61" si="31">D47</f>
        <v>0</v>
      </c>
      <c r="U47" s="425">
        <f t="shared" ref="U47:U61" si="32">IF(ROUND(SUM(H47:S47),0)&gt;T47,1,IF(ROUND(SUM(H47:S47),0)&lt;T47,1,0))</f>
        <v>0</v>
      </c>
      <c r="V47" s="322">
        <f t="shared" ref="V47:V61" si="33">ROUND(SUM(H47:S47)-T47,0)</f>
        <v>0</v>
      </c>
    </row>
    <row r="48" spans="1:22" x14ac:dyDescent="0.2">
      <c r="A48" s="174" t="s">
        <v>527</v>
      </c>
      <c r="B48" s="173">
        <v>8086</v>
      </c>
      <c r="C48" s="121"/>
      <c r="D48" s="222"/>
      <c r="E48" s="223"/>
      <c r="G48" s="290" t="s">
        <v>267</v>
      </c>
      <c r="H48" s="307" t="str">
        <f t="shared" si="22"/>
        <v/>
      </c>
      <c r="I48" s="307" t="str">
        <f t="shared" si="23"/>
        <v/>
      </c>
      <c r="J48" s="307" t="str">
        <f t="shared" si="23"/>
        <v/>
      </c>
      <c r="K48" s="307" t="str">
        <f t="shared" si="24"/>
        <v/>
      </c>
      <c r="L48" s="307" t="str">
        <f t="shared" si="25"/>
        <v/>
      </c>
      <c r="M48" s="307" t="str">
        <f t="shared" si="26"/>
        <v/>
      </c>
      <c r="N48" s="307" t="str">
        <f t="shared" si="27"/>
        <v/>
      </c>
      <c r="O48" s="307" t="str">
        <f t="shared" si="28"/>
        <v/>
      </c>
      <c r="P48" s="307" t="str">
        <f t="shared" si="28"/>
        <v/>
      </c>
      <c r="Q48" s="307" t="str">
        <f t="shared" si="29"/>
        <v/>
      </c>
      <c r="R48" s="307" t="str">
        <f t="shared" si="30"/>
        <v/>
      </c>
      <c r="S48" s="307" t="str">
        <f t="shared" si="30"/>
        <v/>
      </c>
      <c r="T48" s="303">
        <f t="shared" si="31"/>
        <v>0</v>
      </c>
      <c r="U48" s="425">
        <f t="shared" si="32"/>
        <v>0</v>
      </c>
      <c r="V48" s="322">
        <f t="shared" si="33"/>
        <v>0</v>
      </c>
    </row>
    <row r="49" spans="1:22" ht="25.5" x14ac:dyDescent="0.2">
      <c r="A49" s="558" t="s">
        <v>1023</v>
      </c>
      <c r="B49" s="173">
        <v>8108</v>
      </c>
      <c r="C49" s="1003" t="s">
        <v>1084</v>
      </c>
      <c r="D49" s="222">
        <v>8580</v>
      </c>
      <c r="E49" s="223"/>
      <c r="G49" s="290" t="s">
        <v>294</v>
      </c>
      <c r="H49" s="307">
        <f t="shared" si="22"/>
        <v>780</v>
      </c>
      <c r="I49" s="307">
        <f t="shared" si="23"/>
        <v>780</v>
      </c>
      <c r="J49" s="307">
        <f t="shared" si="23"/>
        <v>780</v>
      </c>
      <c r="K49" s="307">
        <f t="shared" si="24"/>
        <v>780</v>
      </c>
      <c r="L49" s="307">
        <f t="shared" si="25"/>
        <v>0</v>
      </c>
      <c r="M49" s="307">
        <f t="shared" si="26"/>
        <v>780</v>
      </c>
      <c r="N49" s="307">
        <f t="shared" si="27"/>
        <v>780</v>
      </c>
      <c r="O49" s="307">
        <f t="shared" si="28"/>
        <v>780</v>
      </c>
      <c r="P49" s="307">
        <f t="shared" si="28"/>
        <v>780</v>
      </c>
      <c r="Q49" s="307">
        <f t="shared" si="29"/>
        <v>780</v>
      </c>
      <c r="R49" s="307">
        <f t="shared" si="30"/>
        <v>780</v>
      </c>
      <c r="S49" s="307">
        <f t="shared" si="30"/>
        <v>780</v>
      </c>
      <c r="T49" s="303">
        <f t="shared" si="31"/>
        <v>8580</v>
      </c>
      <c r="U49" s="425">
        <f t="shared" si="32"/>
        <v>0</v>
      </c>
      <c r="V49" s="322">
        <f t="shared" si="33"/>
        <v>0</v>
      </c>
    </row>
    <row r="50" spans="1:22" x14ac:dyDescent="0.2">
      <c r="A50" s="558" t="s">
        <v>1024</v>
      </c>
      <c r="B50" s="173">
        <v>8259</v>
      </c>
      <c r="C50" s="1003" t="s">
        <v>1085</v>
      </c>
      <c r="D50" s="222">
        <v>920</v>
      </c>
      <c r="E50" s="223"/>
      <c r="G50" s="290" t="s">
        <v>294</v>
      </c>
      <c r="H50" s="307">
        <f t="shared" si="22"/>
        <v>83.63636363636364</v>
      </c>
      <c r="I50" s="307">
        <f t="shared" si="23"/>
        <v>83.63636363636364</v>
      </c>
      <c r="J50" s="307">
        <f t="shared" si="23"/>
        <v>83.63636363636364</v>
      </c>
      <c r="K50" s="307">
        <f t="shared" si="24"/>
        <v>83.63636363636364</v>
      </c>
      <c r="L50" s="307">
        <f t="shared" si="25"/>
        <v>0</v>
      </c>
      <c r="M50" s="307">
        <f t="shared" si="26"/>
        <v>83.63636363636364</v>
      </c>
      <c r="N50" s="307">
        <f t="shared" si="27"/>
        <v>83.63636363636364</v>
      </c>
      <c r="O50" s="307">
        <f t="shared" si="28"/>
        <v>83.63636363636364</v>
      </c>
      <c r="P50" s="307">
        <f t="shared" si="28"/>
        <v>83.63636363636364</v>
      </c>
      <c r="Q50" s="307">
        <f t="shared" si="29"/>
        <v>83.63636363636364</v>
      </c>
      <c r="R50" s="307">
        <f t="shared" si="30"/>
        <v>83.63636363636364</v>
      </c>
      <c r="S50" s="307">
        <f t="shared" si="30"/>
        <v>83.63636363636364</v>
      </c>
      <c r="T50" s="303">
        <f t="shared" si="31"/>
        <v>920</v>
      </c>
      <c r="U50" s="425">
        <f t="shared" si="32"/>
        <v>0</v>
      </c>
      <c r="V50" s="322">
        <f t="shared" si="33"/>
        <v>0</v>
      </c>
    </row>
    <row r="51" spans="1:22" ht="25.5" x14ac:dyDescent="0.2">
      <c r="A51" s="558" t="s">
        <v>1025</v>
      </c>
      <c r="B51" s="173">
        <v>8111</v>
      </c>
      <c r="C51" s="1003" t="s">
        <v>1086</v>
      </c>
      <c r="D51" s="237">
        <v>600</v>
      </c>
      <c r="E51" s="238"/>
      <c r="G51" s="290" t="s">
        <v>294</v>
      </c>
      <c r="H51" s="307">
        <f t="shared" si="22"/>
        <v>54.545454545454547</v>
      </c>
      <c r="I51" s="307">
        <f t="shared" si="23"/>
        <v>54.545454545454547</v>
      </c>
      <c r="J51" s="307">
        <f t="shared" si="23"/>
        <v>54.545454545454547</v>
      </c>
      <c r="K51" s="307">
        <f t="shared" si="24"/>
        <v>54.545454545454547</v>
      </c>
      <c r="L51" s="307">
        <f t="shared" si="25"/>
        <v>0</v>
      </c>
      <c r="M51" s="307">
        <f t="shared" si="26"/>
        <v>54.545454545454547</v>
      </c>
      <c r="N51" s="307">
        <f t="shared" si="27"/>
        <v>54.545454545454547</v>
      </c>
      <c r="O51" s="307">
        <f t="shared" si="28"/>
        <v>54.545454545454547</v>
      </c>
      <c r="P51" s="307">
        <f t="shared" si="28"/>
        <v>54.545454545454547</v>
      </c>
      <c r="Q51" s="307">
        <f t="shared" si="29"/>
        <v>54.545454545454547</v>
      </c>
      <c r="R51" s="307">
        <f t="shared" si="30"/>
        <v>54.545454545454547</v>
      </c>
      <c r="S51" s="307">
        <f t="shared" si="30"/>
        <v>54.545454545454547</v>
      </c>
      <c r="T51" s="303">
        <f t="shared" si="31"/>
        <v>600</v>
      </c>
      <c r="U51" s="425">
        <f t="shared" si="32"/>
        <v>0</v>
      </c>
      <c r="V51" s="322">
        <f t="shared" si="33"/>
        <v>0</v>
      </c>
    </row>
    <row r="52" spans="1:22" ht="25.5" x14ac:dyDescent="0.2">
      <c r="A52" s="558" t="s">
        <v>1026</v>
      </c>
      <c r="B52" s="173">
        <v>8111</v>
      </c>
      <c r="C52" s="1003" t="s">
        <v>1093</v>
      </c>
      <c r="D52" s="237">
        <v>3048</v>
      </c>
      <c r="E52" s="223"/>
      <c r="G52" s="290" t="s">
        <v>294</v>
      </c>
      <c r="H52" s="307">
        <f t="shared" si="22"/>
        <v>277.09090909090907</v>
      </c>
      <c r="I52" s="307">
        <f t="shared" si="23"/>
        <v>277.09090909090907</v>
      </c>
      <c r="J52" s="307">
        <f t="shared" si="23"/>
        <v>277.09090909090907</v>
      </c>
      <c r="K52" s="307">
        <f t="shared" si="24"/>
        <v>277.09090909090907</v>
      </c>
      <c r="L52" s="307">
        <f t="shared" si="25"/>
        <v>0</v>
      </c>
      <c r="M52" s="307">
        <f t="shared" si="26"/>
        <v>277.09090909090907</v>
      </c>
      <c r="N52" s="307">
        <f t="shared" si="27"/>
        <v>277.09090909090907</v>
      </c>
      <c r="O52" s="307">
        <f t="shared" si="28"/>
        <v>277.09090909090907</v>
      </c>
      <c r="P52" s="307">
        <f t="shared" si="28"/>
        <v>277.09090909090907</v>
      </c>
      <c r="Q52" s="307">
        <f t="shared" si="29"/>
        <v>277.09090909090907</v>
      </c>
      <c r="R52" s="307">
        <f t="shared" si="30"/>
        <v>277.09090909090907</v>
      </c>
      <c r="S52" s="307">
        <f t="shared" si="30"/>
        <v>277.09090909090907</v>
      </c>
      <c r="T52" s="303">
        <f t="shared" si="31"/>
        <v>3048</v>
      </c>
      <c r="U52" s="425">
        <f t="shared" si="32"/>
        <v>0</v>
      </c>
      <c r="V52" s="322">
        <f t="shared" si="33"/>
        <v>0</v>
      </c>
    </row>
    <row r="53" spans="1:22" ht="25.5" x14ac:dyDescent="0.2">
      <c r="A53" s="558" t="s">
        <v>1027</v>
      </c>
      <c r="B53" s="173">
        <v>8389</v>
      </c>
      <c r="C53" s="1003" t="s">
        <v>1087</v>
      </c>
      <c r="D53" s="237">
        <v>4480</v>
      </c>
      <c r="E53" s="223"/>
      <c r="G53" s="290" t="s">
        <v>291</v>
      </c>
      <c r="H53" s="307" t="str">
        <f t="shared" si="22"/>
        <v/>
      </c>
      <c r="I53" s="307" t="str">
        <f t="shared" si="23"/>
        <v/>
      </c>
      <c r="J53" s="307" t="str">
        <f t="shared" si="23"/>
        <v/>
      </c>
      <c r="K53" s="307" t="str">
        <f t="shared" si="24"/>
        <v/>
      </c>
      <c r="L53" s="307">
        <v>4000</v>
      </c>
      <c r="M53" s="307" t="str">
        <f t="shared" si="26"/>
        <v/>
      </c>
      <c r="N53" s="307" t="str">
        <f t="shared" si="27"/>
        <v/>
      </c>
      <c r="O53" s="307" t="str">
        <f t="shared" si="28"/>
        <v/>
      </c>
      <c r="P53" s="307" t="str">
        <f t="shared" si="28"/>
        <v/>
      </c>
      <c r="Q53" s="307" t="str">
        <f t="shared" si="29"/>
        <v/>
      </c>
      <c r="R53" s="307" t="str">
        <f t="shared" si="30"/>
        <v/>
      </c>
      <c r="S53" s="307" t="str">
        <f t="shared" si="30"/>
        <v/>
      </c>
      <c r="T53" s="303">
        <f t="shared" si="31"/>
        <v>4480</v>
      </c>
      <c r="U53" s="425">
        <f t="shared" si="32"/>
        <v>1</v>
      </c>
      <c r="V53" s="322">
        <f t="shared" si="33"/>
        <v>-480</v>
      </c>
    </row>
    <row r="54" spans="1:22" x14ac:dyDescent="0.2">
      <c r="A54" s="558"/>
      <c r="B54" s="173"/>
      <c r="C54" s="121"/>
      <c r="D54" s="237"/>
      <c r="E54" s="223"/>
      <c r="G54" s="290" t="s">
        <v>267</v>
      </c>
      <c r="H54" s="307" t="str">
        <f t="shared" si="22"/>
        <v/>
      </c>
      <c r="I54" s="307" t="str">
        <f t="shared" si="23"/>
        <v/>
      </c>
      <c r="J54" s="307" t="str">
        <f t="shared" si="23"/>
        <v/>
      </c>
      <c r="K54" s="307" t="str">
        <f t="shared" si="24"/>
        <v/>
      </c>
      <c r="L54" s="307" t="str">
        <f t="shared" si="25"/>
        <v/>
      </c>
      <c r="M54" s="307" t="str">
        <f t="shared" si="26"/>
        <v/>
      </c>
      <c r="N54" s="307" t="str">
        <f t="shared" si="27"/>
        <v/>
      </c>
      <c r="O54" s="307" t="str">
        <f t="shared" si="28"/>
        <v/>
      </c>
      <c r="P54" s="307" t="str">
        <f t="shared" si="28"/>
        <v/>
      </c>
      <c r="Q54" s="307" t="str">
        <f t="shared" si="29"/>
        <v/>
      </c>
      <c r="R54" s="307" t="str">
        <f t="shared" si="30"/>
        <v/>
      </c>
      <c r="S54" s="307" t="str">
        <f t="shared" si="30"/>
        <v/>
      </c>
      <c r="T54" s="303">
        <f t="shared" si="31"/>
        <v>0</v>
      </c>
      <c r="U54" s="425">
        <f t="shared" si="32"/>
        <v>0</v>
      </c>
      <c r="V54" s="322">
        <f t="shared" si="33"/>
        <v>0</v>
      </c>
    </row>
    <row r="55" spans="1:22" x14ac:dyDescent="0.2">
      <c r="A55" s="558" t="s">
        <v>442</v>
      </c>
      <c r="B55" s="173"/>
      <c r="C55" s="121"/>
      <c r="D55" s="237"/>
      <c r="E55" s="223"/>
      <c r="G55" s="290" t="s">
        <v>267</v>
      </c>
      <c r="H55" s="307" t="str">
        <f t="shared" si="22"/>
        <v/>
      </c>
      <c r="I55" s="307" t="str">
        <f t="shared" si="23"/>
        <v/>
      </c>
      <c r="J55" s="307" t="str">
        <f t="shared" si="23"/>
        <v/>
      </c>
      <c r="K55" s="307" t="str">
        <f t="shared" si="24"/>
        <v/>
      </c>
      <c r="L55" s="307" t="str">
        <f t="shared" si="25"/>
        <v/>
      </c>
      <c r="M55" s="307" t="str">
        <f t="shared" si="26"/>
        <v/>
      </c>
      <c r="N55" s="307" t="str">
        <f t="shared" si="27"/>
        <v/>
      </c>
      <c r="O55" s="307" t="str">
        <f t="shared" si="28"/>
        <v/>
      </c>
      <c r="P55" s="307" t="str">
        <f t="shared" si="28"/>
        <v/>
      </c>
      <c r="Q55" s="307" t="str">
        <f t="shared" si="29"/>
        <v/>
      </c>
      <c r="R55" s="307" t="str">
        <f t="shared" si="30"/>
        <v/>
      </c>
      <c r="S55" s="307" t="str">
        <f t="shared" si="30"/>
        <v/>
      </c>
      <c r="T55" s="303">
        <f t="shared" si="31"/>
        <v>0</v>
      </c>
      <c r="U55" s="425">
        <f t="shared" si="32"/>
        <v>0</v>
      </c>
      <c r="V55" s="322">
        <f t="shared" si="33"/>
        <v>0</v>
      </c>
    </row>
    <row r="56" spans="1:22" x14ac:dyDescent="0.2">
      <c r="A56" s="558" t="s">
        <v>442</v>
      </c>
      <c r="B56" s="173"/>
      <c r="C56" s="121"/>
      <c r="D56" s="237"/>
      <c r="E56" s="223"/>
      <c r="G56" s="290" t="s">
        <v>267</v>
      </c>
      <c r="H56" s="307" t="str">
        <f t="shared" si="22"/>
        <v/>
      </c>
      <c r="I56" s="307" t="str">
        <f t="shared" si="23"/>
        <v/>
      </c>
      <c r="J56" s="307" t="str">
        <f t="shared" si="23"/>
        <v/>
      </c>
      <c r="K56" s="307" t="str">
        <f t="shared" si="24"/>
        <v/>
      </c>
      <c r="L56" s="307" t="str">
        <f t="shared" si="25"/>
        <v/>
      </c>
      <c r="M56" s="307" t="str">
        <f t="shared" si="26"/>
        <v/>
      </c>
      <c r="N56" s="307" t="str">
        <f t="shared" si="27"/>
        <v/>
      </c>
      <c r="O56" s="307" t="str">
        <f t="shared" si="28"/>
        <v/>
      </c>
      <c r="P56" s="307" t="str">
        <f t="shared" si="28"/>
        <v/>
      </c>
      <c r="Q56" s="307" t="str">
        <f t="shared" si="29"/>
        <v/>
      </c>
      <c r="R56" s="307" t="str">
        <f t="shared" si="30"/>
        <v/>
      </c>
      <c r="S56" s="307" t="str">
        <f t="shared" si="30"/>
        <v/>
      </c>
      <c r="T56" s="303">
        <f t="shared" si="31"/>
        <v>0</v>
      </c>
      <c r="U56" s="425">
        <f t="shared" si="32"/>
        <v>0</v>
      </c>
      <c r="V56" s="322">
        <f t="shared" si="33"/>
        <v>0</v>
      </c>
    </row>
    <row r="57" spans="1:22" x14ac:dyDescent="0.2">
      <c r="A57" s="558" t="s">
        <v>442</v>
      </c>
      <c r="B57" s="173"/>
      <c r="C57" s="121"/>
      <c r="D57" s="237"/>
      <c r="E57" s="238"/>
      <c r="G57" s="290" t="s">
        <v>267</v>
      </c>
      <c r="H57" s="307" t="str">
        <f t="shared" si="22"/>
        <v/>
      </c>
      <c r="I57" s="307" t="str">
        <f t="shared" si="23"/>
        <v/>
      </c>
      <c r="J57" s="307" t="str">
        <f t="shared" si="23"/>
        <v/>
      </c>
      <c r="K57" s="307" t="str">
        <f t="shared" si="24"/>
        <v/>
      </c>
      <c r="L57" s="307" t="str">
        <f t="shared" si="25"/>
        <v/>
      </c>
      <c r="M57" s="307" t="str">
        <f t="shared" si="26"/>
        <v/>
      </c>
      <c r="N57" s="307" t="str">
        <f t="shared" si="27"/>
        <v/>
      </c>
      <c r="O57" s="307" t="str">
        <f t="shared" si="28"/>
        <v/>
      </c>
      <c r="P57" s="307" t="str">
        <f t="shared" si="28"/>
        <v/>
      </c>
      <c r="Q57" s="307" t="str">
        <f t="shared" si="29"/>
        <v/>
      </c>
      <c r="R57" s="307" t="str">
        <f t="shared" si="30"/>
        <v/>
      </c>
      <c r="S57" s="307" t="str">
        <f t="shared" si="30"/>
        <v/>
      </c>
      <c r="T57" s="303">
        <f t="shared" si="31"/>
        <v>0</v>
      </c>
      <c r="U57" s="425">
        <f t="shared" si="32"/>
        <v>0</v>
      </c>
      <c r="V57" s="322">
        <f t="shared" si="33"/>
        <v>0</v>
      </c>
    </row>
    <row r="58" spans="1:22" x14ac:dyDescent="0.2">
      <c r="A58" s="558" t="s">
        <v>442</v>
      </c>
      <c r="B58" s="173"/>
      <c r="C58" s="121"/>
      <c r="D58" s="237"/>
      <c r="E58" s="238"/>
      <c r="G58" s="290" t="s">
        <v>267</v>
      </c>
      <c r="H58" s="307" t="str">
        <f t="shared" si="22"/>
        <v/>
      </c>
      <c r="I58" s="307" t="str">
        <f t="shared" si="23"/>
        <v/>
      </c>
      <c r="J58" s="307" t="str">
        <f t="shared" si="23"/>
        <v/>
      </c>
      <c r="K58" s="307" t="str">
        <f t="shared" si="24"/>
        <v/>
      </c>
      <c r="L58" s="307" t="str">
        <f t="shared" si="25"/>
        <v/>
      </c>
      <c r="M58" s="307" t="str">
        <f t="shared" si="26"/>
        <v/>
      </c>
      <c r="N58" s="307" t="str">
        <f t="shared" si="27"/>
        <v/>
      </c>
      <c r="O58" s="307" t="str">
        <f t="shared" si="28"/>
        <v/>
      </c>
      <c r="P58" s="307" t="str">
        <f t="shared" si="28"/>
        <v/>
      </c>
      <c r="Q58" s="307" t="str">
        <f t="shared" si="29"/>
        <v/>
      </c>
      <c r="R58" s="307" t="str">
        <f t="shared" si="30"/>
        <v/>
      </c>
      <c r="S58" s="307" t="str">
        <f t="shared" si="30"/>
        <v/>
      </c>
      <c r="T58" s="303">
        <f t="shared" si="31"/>
        <v>0</v>
      </c>
      <c r="U58" s="425">
        <f t="shared" si="32"/>
        <v>0</v>
      </c>
      <c r="V58" s="322">
        <f t="shared" si="33"/>
        <v>0</v>
      </c>
    </row>
    <row r="59" spans="1:22" x14ac:dyDescent="0.2">
      <c r="A59" s="558" t="s">
        <v>442</v>
      </c>
      <c r="B59" s="173"/>
      <c r="C59" s="121"/>
      <c r="D59" s="237"/>
      <c r="E59" s="238"/>
      <c r="G59" s="290" t="s">
        <v>267</v>
      </c>
      <c r="H59" s="307" t="str">
        <f t="shared" si="22"/>
        <v/>
      </c>
      <c r="I59" s="307" t="str">
        <f t="shared" si="23"/>
        <v/>
      </c>
      <c r="J59" s="307" t="str">
        <f t="shared" si="23"/>
        <v/>
      </c>
      <c r="K59" s="307" t="str">
        <f t="shared" si="24"/>
        <v/>
      </c>
      <c r="L59" s="307" t="str">
        <f t="shared" si="25"/>
        <v/>
      </c>
      <c r="M59" s="307" t="str">
        <f t="shared" si="26"/>
        <v/>
      </c>
      <c r="N59" s="307" t="str">
        <f t="shared" si="27"/>
        <v/>
      </c>
      <c r="O59" s="307" t="str">
        <f t="shared" si="28"/>
        <v/>
      </c>
      <c r="P59" s="307" t="str">
        <f t="shared" si="28"/>
        <v/>
      </c>
      <c r="Q59" s="307" t="str">
        <f t="shared" si="29"/>
        <v/>
      </c>
      <c r="R59" s="307" t="str">
        <f t="shared" si="30"/>
        <v/>
      </c>
      <c r="S59" s="307" t="str">
        <f t="shared" si="30"/>
        <v/>
      </c>
      <c r="T59" s="303">
        <f t="shared" si="31"/>
        <v>0</v>
      </c>
      <c r="U59" s="425">
        <f t="shared" si="32"/>
        <v>0</v>
      </c>
      <c r="V59" s="322">
        <f t="shared" si="33"/>
        <v>0</v>
      </c>
    </row>
    <row r="60" spans="1:22" x14ac:dyDescent="0.2">
      <c r="A60" s="558" t="s">
        <v>442</v>
      </c>
      <c r="B60" s="173"/>
      <c r="C60" s="121"/>
      <c r="D60" s="237"/>
      <c r="E60" s="238"/>
      <c r="G60" s="290" t="s">
        <v>267</v>
      </c>
      <c r="H60" s="307" t="str">
        <f t="shared" si="22"/>
        <v/>
      </c>
      <c r="I60" s="307" t="str">
        <f t="shared" si="23"/>
        <v/>
      </c>
      <c r="J60" s="307" t="str">
        <f t="shared" si="23"/>
        <v/>
      </c>
      <c r="K60" s="307" t="str">
        <f t="shared" si="24"/>
        <v/>
      </c>
      <c r="L60" s="307" t="str">
        <f t="shared" si="25"/>
        <v/>
      </c>
      <c r="M60" s="307" t="str">
        <f t="shared" si="26"/>
        <v/>
      </c>
      <c r="N60" s="307" t="str">
        <f t="shared" si="27"/>
        <v/>
      </c>
      <c r="O60" s="307" t="str">
        <f t="shared" si="28"/>
        <v/>
      </c>
      <c r="P60" s="307" t="str">
        <f t="shared" si="28"/>
        <v/>
      </c>
      <c r="Q60" s="307" t="str">
        <f t="shared" si="29"/>
        <v/>
      </c>
      <c r="R60" s="307" t="str">
        <f t="shared" si="30"/>
        <v/>
      </c>
      <c r="S60" s="307" t="str">
        <f t="shared" si="30"/>
        <v/>
      </c>
      <c r="T60" s="303">
        <f t="shared" si="31"/>
        <v>0</v>
      </c>
      <c r="U60" s="425">
        <f t="shared" si="32"/>
        <v>0</v>
      </c>
      <c r="V60" s="322">
        <f t="shared" si="33"/>
        <v>0</v>
      </c>
    </row>
    <row r="61" spans="1:22" x14ac:dyDescent="0.2">
      <c r="A61" s="558" t="s">
        <v>442</v>
      </c>
      <c r="B61" s="173"/>
      <c r="C61" s="121"/>
      <c r="D61" s="237"/>
      <c r="E61" s="238">
        <f>SUM(D47:D61)</f>
        <v>17628</v>
      </c>
      <c r="G61" s="290" t="s">
        <v>267</v>
      </c>
      <c r="H61" s="307" t="str">
        <f t="shared" si="22"/>
        <v/>
      </c>
      <c r="I61" s="307" t="str">
        <f t="shared" si="23"/>
        <v/>
      </c>
      <c r="J61" s="307" t="str">
        <f t="shared" si="23"/>
        <v/>
      </c>
      <c r="K61" s="307" t="str">
        <f t="shared" si="24"/>
        <v/>
      </c>
      <c r="L61" s="307" t="str">
        <f t="shared" si="25"/>
        <v/>
      </c>
      <c r="M61" s="307" t="str">
        <f t="shared" si="26"/>
        <v/>
      </c>
      <c r="N61" s="307" t="str">
        <f t="shared" si="27"/>
        <v/>
      </c>
      <c r="O61" s="307" t="str">
        <f t="shared" si="28"/>
        <v/>
      </c>
      <c r="P61" s="307" t="str">
        <f t="shared" si="28"/>
        <v/>
      </c>
      <c r="Q61" s="307" t="str">
        <f t="shared" si="29"/>
        <v/>
      </c>
      <c r="R61" s="307" t="str">
        <f t="shared" si="30"/>
        <v/>
      </c>
      <c r="S61" s="307" t="str">
        <f t="shared" si="30"/>
        <v/>
      </c>
      <c r="T61" s="303">
        <f t="shared" si="31"/>
        <v>0</v>
      </c>
      <c r="U61" s="425">
        <f t="shared" si="32"/>
        <v>0</v>
      </c>
      <c r="V61" s="322">
        <f t="shared" si="33"/>
        <v>0</v>
      </c>
    </row>
    <row r="62" spans="1:22" x14ac:dyDescent="0.2">
      <c r="A62" s="79"/>
      <c r="B62" s="80"/>
      <c r="C62" s="81"/>
      <c r="D62" s="239"/>
      <c r="E62" s="240"/>
    </row>
    <row r="63" spans="1:22" ht="13.5" thickBot="1" x14ac:dyDescent="0.25">
      <c r="A63" s="1065" t="s">
        <v>409</v>
      </c>
      <c r="B63" s="1066"/>
      <c r="C63" s="1067"/>
      <c r="D63" s="239"/>
      <c r="E63" s="241">
        <f>SUM(E16:E61)</f>
        <v>556541</v>
      </c>
    </row>
    <row r="64" spans="1:22" ht="14.25" thickTop="1" thickBot="1" x14ac:dyDescent="0.25">
      <c r="A64" s="82"/>
      <c r="B64" s="83"/>
      <c r="C64" s="84"/>
      <c r="D64" s="84"/>
      <c r="E64" s="85"/>
    </row>
  </sheetData>
  <sheetProtection algorithmName="SHA-512" hashValue="8U4wRQuPxd0bqIfJF/rQyuWmY6l8BNspE836DtDuYlDtXWxB744kJ3VFkeEnibVb7G/RsdTQkUcIY9vGP5HW7A==" saltValue="jBW3vl1PtPJkCOc4O5fCxw==" spinCount="100000" sheet="1" formatCells="0" formatRows="0"/>
  <mergeCells count="5">
    <mergeCell ref="A63:C63"/>
    <mergeCell ref="A1:C1"/>
    <mergeCell ref="G1:T1"/>
    <mergeCell ref="G5:T5"/>
    <mergeCell ref="H2:S3"/>
  </mergeCells>
  <phoneticPr fontId="0" type="noConversion"/>
  <conditionalFormatting sqref="T47:T61 T19 T21:T43">
    <cfRule type="cellIs" dxfId="147" priority="17" stopIfTrue="1" operator="notEqual">
      <formula>ROUND(SUM($H19:$S19),0)</formula>
    </cfRule>
  </conditionalFormatting>
  <conditionalFormatting sqref="V47:V61 V19 V21:V43">
    <cfRule type="cellIs" dxfId="146" priority="18" stopIfTrue="1" operator="equal">
      <formula>0</formula>
    </cfRule>
  </conditionalFormatting>
  <conditionalFormatting sqref="E1">
    <cfRule type="cellIs" dxfId="145" priority="21" stopIfTrue="1" operator="equal">
      <formula>"(please enter)"</formula>
    </cfRule>
  </conditionalFormatting>
  <conditionalFormatting sqref="A26">
    <cfRule type="expression" dxfId="144" priority="14" stopIfTrue="1">
      <formula>AND(A26="Other: Please enter description",D26&lt;&gt;0)</formula>
    </cfRule>
  </conditionalFormatting>
  <conditionalFormatting sqref="A29:A43">
    <cfRule type="expression" dxfId="143" priority="13" stopIfTrue="1">
      <formula>AND(A29="Other: Please enter description",D29&gt;0)</formula>
    </cfRule>
  </conditionalFormatting>
  <conditionalFormatting sqref="A49:A61">
    <cfRule type="expression" dxfId="142" priority="11" stopIfTrue="1">
      <formula>AND(A49="Other: Please enter description",D49&lt;&gt;0)</formula>
    </cfRule>
  </conditionalFormatting>
  <conditionalFormatting sqref="A27">
    <cfRule type="expression" dxfId="141" priority="10" stopIfTrue="1">
      <formula>AND(A27="Other: Please enter description",D27&lt;&gt;0)</formula>
    </cfRule>
  </conditionalFormatting>
  <conditionalFormatting sqref="C21">
    <cfRule type="cellIs" dxfId="140" priority="8" stopIfTrue="1" operator="equal">
      <formula>"Please enter your school's cost code in cell E1"</formula>
    </cfRule>
  </conditionalFormatting>
  <conditionalFormatting sqref="C19">
    <cfRule type="cellIs" dxfId="139" priority="7" stopIfTrue="1" operator="equal">
      <formula>"Please enter your school's cost code in cell E1"</formula>
    </cfRule>
  </conditionalFormatting>
  <conditionalFormatting sqref="C20">
    <cfRule type="cellIs" dxfId="138" priority="5" stopIfTrue="1" operator="equal">
      <formula>"Please enter your school's cost code in cell E1"</formula>
    </cfRule>
  </conditionalFormatting>
  <conditionalFormatting sqref="C22">
    <cfRule type="cellIs" dxfId="137" priority="4" stopIfTrue="1" operator="equal">
      <formula>"Please enter your school's cost code in cell E1"</formula>
    </cfRule>
  </conditionalFormatting>
  <conditionalFormatting sqref="C22">
    <cfRule type="cellIs" dxfId="136" priority="3" stopIfTrue="1" operator="equal">
      <formula>"Please enter your school's cost code in cell E1"</formula>
    </cfRule>
  </conditionalFormatting>
  <conditionalFormatting sqref="C21">
    <cfRule type="cellIs" dxfId="135" priority="2" stopIfTrue="1" operator="equal">
      <formula>"Please enter your school's cost code in cell E1"</formula>
    </cfRule>
  </conditionalFormatting>
  <conditionalFormatting sqref="C23">
    <cfRule type="cellIs" dxfId="134" priority="1" stopIfTrue="1" operator="equal">
      <formula>"Please enter your school's cost code in cell E1"</formula>
    </cfRule>
  </conditionalFormatting>
  <dataValidations xWindow="1026" yWindow="526" count="4">
    <dataValidation type="whole" allowBlank="1" showInputMessage="1" showErrorMessage="1" error="Please enter figure as a positive number to the nearest whole pound" sqref="D47:D61">
      <formula1>0</formula1>
      <formula2>1000000000</formula2>
    </dataValidation>
    <dataValidation type="whole" allowBlank="1" showInputMessage="1" showErrorMessage="1" error="Please enter figure as a positive number to the nearest whole pound" sqref="D27:D43">
      <formula1>-1000000</formula1>
      <formula2>1000000000</formula2>
    </dataValidation>
    <dataValidation type="list" allowBlank="1" showInputMessage="1" showErrorMessage="1" prompt="Pick profile from drop down list" sqref="G47:G61 G19 G21:G43">
      <formula1>profile</formula1>
    </dataValidation>
    <dataValidation type="whole" allowBlank="1" showInputMessage="1" showErrorMessage="1" error="Please enter figure as a positive number to the nearest whole pound" sqref="D8:D16">
      <formula1>-10000000</formula1>
      <formula2>1000000000</formula2>
    </dataValidation>
  </dataValidations>
  <hyperlinks>
    <hyperlink ref="A4" location="' Guidance Notes'!A44" display="Go to Guidance Notes"/>
  </hyperlinks>
  <pageMargins left="0.59055118110236227" right="0.59055118110236227" top="0.78740157480314965" bottom="0.78740157480314965" header="0.19685039370078741" footer="0.19685039370078741"/>
  <pageSetup paperSize="9" orientation="landscape" blackAndWhite="1" r:id="rId1"/>
  <headerFooter alignWithMargins="0">
    <oddHeader xml:space="preserve">&amp;R&amp;F
</oddHeader>
    <oddFooter>&amp;LFormat Prepared by the Schools Finance Team&amp;C&amp;P&amp;RPrinted &amp;T &amp;D</oddFooter>
  </headerFooter>
  <rowBreaks count="1" manualBreakCount="1">
    <brk id="32" max="4" man="1"/>
  </rowBreaks>
  <ignoredErrors>
    <ignoredError sqref="B16 B8:B10 B11:B15 B19"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42"/>
  </sheetPr>
  <dimension ref="A1:W595"/>
  <sheetViews>
    <sheetView tabSelected="1" zoomScale="75" zoomScaleNormal="75" workbookViewId="0">
      <pane xSplit="1" ySplit="8" topLeftCell="B261" activePane="bottomRight" state="frozen"/>
      <selection activeCell="F27" sqref="F27"/>
      <selection pane="topRight" activeCell="F27" sqref="F27"/>
      <selection pane="bottomLeft" activeCell="F27" sqref="F27"/>
      <selection pane="bottomRight" activeCell="D274" sqref="D274"/>
    </sheetView>
  </sheetViews>
  <sheetFormatPr defaultColWidth="9.140625" defaultRowHeight="12.75" x14ac:dyDescent="0.2"/>
  <cols>
    <col min="1" max="1" width="21.5703125" style="1" customWidth="1"/>
    <col min="2" max="2" width="7.7109375" style="1" customWidth="1"/>
    <col min="3" max="3" width="35.42578125" style="1" customWidth="1"/>
    <col min="4" max="4" width="65.7109375" style="2" customWidth="1"/>
    <col min="5" max="5" width="14" style="193" customWidth="1"/>
    <col min="6" max="6" width="15.140625" style="1" customWidth="1"/>
    <col min="7" max="7" width="4.7109375" style="1" customWidth="1"/>
    <col min="8" max="8" width="19.140625" style="1" customWidth="1"/>
    <col min="9" max="21" width="11.85546875" style="1" customWidth="1"/>
    <col min="22" max="22" width="2.140625" style="1" bestFit="1" customWidth="1"/>
    <col min="23" max="23" width="18.85546875" style="1" customWidth="1"/>
    <col min="24" max="16384" width="9.140625" style="1"/>
  </cols>
  <sheetData>
    <row r="1" spans="1:23" ht="27.75" customHeight="1" thickBot="1" x14ac:dyDescent="0.25">
      <c r="A1" s="1126" t="str">
        <f>Summary!A1</f>
        <v>Matching Green CE P</v>
      </c>
      <c r="B1" s="1069"/>
      <c r="C1" s="1069"/>
      <c r="D1" s="1069"/>
      <c r="E1" s="1069"/>
      <c r="F1" s="1070"/>
      <c r="H1" s="1071" t="s">
        <v>765</v>
      </c>
      <c r="I1" s="1072"/>
      <c r="J1" s="1072"/>
      <c r="K1" s="1072"/>
      <c r="L1" s="1072"/>
      <c r="M1" s="1072"/>
      <c r="N1" s="1072"/>
      <c r="O1" s="1072"/>
      <c r="P1" s="1072"/>
      <c r="Q1" s="1072"/>
      <c r="R1" s="1072"/>
      <c r="S1" s="1072"/>
      <c r="T1" s="1072"/>
      <c r="U1" s="1073"/>
    </row>
    <row r="2" spans="1:23" ht="9.75" customHeight="1" thickBot="1" x14ac:dyDescent="0.25">
      <c r="H2" s="297"/>
      <c r="I2" s="1077" t="s">
        <v>789</v>
      </c>
      <c r="J2" s="1077"/>
      <c r="K2" s="1077"/>
      <c r="L2" s="1077"/>
      <c r="M2" s="1077"/>
      <c r="N2" s="1077"/>
      <c r="O2" s="1077"/>
      <c r="P2" s="1077"/>
      <c r="Q2" s="1077"/>
      <c r="R2" s="1077"/>
      <c r="S2" s="1077"/>
      <c r="T2" s="1077"/>
      <c r="U2" s="298"/>
    </row>
    <row r="3" spans="1:23" ht="36.75" customHeight="1" thickBot="1" x14ac:dyDescent="0.25">
      <c r="A3" s="1132" t="str">
        <f>'Fin.Yr Lookups'!A5&amp;" Budget Plan: Planned Revenue Expenditure"</f>
        <v>2020-21 Budget Plan: Planned Revenue Expenditure</v>
      </c>
      <c r="B3" s="1132"/>
      <c r="C3" s="1133"/>
      <c r="D3" s="329" t="str">
        <f>IF(E3&lt;0,"Warning! Deficit Budget Set  ",IF(E3=0,"Budget Balanced","Funds Currently Unallocated  "))</f>
        <v xml:space="preserve">Warning! Deficit Budget Set  </v>
      </c>
      <c r="E3" s="1124">
        <f>Income!E63-Expenditure!F573-Expenditure!F583-Expenditure!F594</f>
        <v>-0.19999999995343387</v>
      </c>
      <c r="F3" s="1125"/>
      <c r="G3" s="213"/>
      <c r="H3" s="297"/>
      <c r="I3" s="1123"/>
      <c r="J3" s="1123"/>
      <c r="K3" s="1123"/>
      <c r="L3" s="1123"/>
      <c r="M3" s="1123"/>
      <c r="N3" s="1123"/>
      <c r="O3" s="1123"/>
      <c r="P3" s="1123"/>
      <c r="Q3" s="1123"/>
      <c r="R3" s="1123"/>
      <c r="S3" s="1123"/>
      <c r="T3" s="1123"/>
      <c r="U3" s="298"/>
    </row>
    <row r="4" spans="1:23" ht="14.25" customHeight="1" x14ac:dyDescent="0.2">
      <c r="E4" s="242"/>
      <c r="F4" s="243"/>
      <c r="H4" s="215" t="s">
        <v>290</v>
      </c>
      <c r="I4" s="302">
        <f>IF($H4="Monthly",$E4/12,IF($H4="Quarterly (From April)",$E4/4,IF($H4="Termly",$E4/3,IF($H4="Monthly (excl. August)",$E4/11,""))))</f>
        <v>0</v>
      </c>
      <c r="J4" s="302">
        <f>IF($H4="Monthly",$E4/12,IF($H4="Quarterly (From April)",0,IF($H4="Termly",0,IF($H4="Monthly (excl. August)",$E4/11,""))))</f>
        <v>0</v>
      </c>
      <c r="K4" s="302">
        <f>IF($H4="Monthly",$E4/12,IF($H4="Quarterly (From April)",0,IF($H4="Termly",0,IF($H4="Monthly (excl. August)",$E4/11,""))))</f>
        <v>0</v>
      </c>
      <c r="L4" s="302">
        <f>IF($H4="Monthly",$E4/12,IF($H4="Quarterly (From April)",$E4/4,IF($H4="Termly",0,IF($H4="Monthly (excl. August)",$E4/11,""))))</f>
        <v>0</v>
      </c>
      <c r="M4" s="302">
        <f>IF($H4="Monthly",$E4/12,IF($H4="Quarterly (From April)",0,IF($H4="Termly",0,IF($H4="Monthly (excl. August)",0,""))))</f>
        <v>0</v>
      </c>
      <c r="N4" s="302">
        <f>IF($H4="Monthly",$E4/12,IF($H4="Quarterly (From April)",0,IF($H4="Termly",$E4/3,IF($H4="Monthly (excl. August)",$E4/11,""))))</f>
        <v>0</v>
      </c>
      <c r="O4" s="302">
        <f>IF($H4="Monthly",$E4/12,IF($H4="Quarterly (From April)",$E4/4,IF($H4="Termly",0,IF($H4="Monthly (excl. August)",$E4/11,""))))</f>
        <v>0</v>
      </c>
      <c r="P4" s="302">
        <f>IF($H4="Monthly",$E4/12,IF($H4="Quarterly (From April)",0,IF($H4="Termly",0,IF($H4="Monthly (excl. August)",$E4/11,""))))</f>
        <v>0</v>
      </c>
      <c r="Q4" s="302">
        <f>IF($H4="Monthly",$E4/12,IF($H4="Quarterly (From April)",0,IF($H4="Termly",0,IF($H4="Monthly (excl. August)",$E4/11,""))))</f>
        <v>0</v>
      </c>
      <c r="R4" s="302">
        <f>IF($H4="Monthly",$E4/12,IF($H4="Quarterly (From April)",$E4/4,IF($H4="Termly",$E4/3,IF($H4="Monthly (excl. August)",$E4/11,""))))</f>
        <v>0</v>
      </c>
      <c r="S4" s="302">
        <f>IF($H4="Monthly",$E4/12,IF($H4="Quarterly (From April)",0,IF($H4="Termly",0,IF($H4="Monthly (excl. August)",$E4/11,""))))</f>
        <v>0</v>
      </c>
      <c r="T4" s="302">
        <f>IF($H4="Monthly",$E4/12,IF($H4="Quarterly (From April)",0,IF($H4="Termly",0,IF($H4="Monthly (excl. August)",$E4/11,""))))</f>
        <v>0</v>
      </c>
      <c r="U4" s="216"/>
    </row>
    <row r="5" spans="1:23" ht="25.5" customHeight="1" thickBot="1" x14ac:dyDescent="0.25">
      <c r="A5" s="3"/>
      <c r="B5" s="1119" t="s">
        <v>784</v>
      </c>
      <c r="C5" s="1119"/>
      <c r="D5" s="220" t="s">
        <v>542</v>
      </c>
      <c r="E5" s="242"/>
      <c r="F5" s="243"/>
      <c r="H5" s="1120" t="str">
        <f>IF(SUM(V:V)&gt;0,"Payments do not equal yearly budgeted amounts on one or more rows (see column W)","")</f>
        <v>Payments do not equal yearly budgeted amounts on one or more rows (see column W)</v>
      </c>
      <c r="I5" s="1121"/>
      <c r="J5" s="1121"/>
      <c r="K5" s="1121"/>
      <c r="L5" s="1121"/>
      <c r="M5" s="1121"/>
      <c r="N5" s="1121"/>
      <c r="O5" s="1121"/>
      <c r="P5" s="1121"/>
      <c r="Q5" s="1121"/>
      <c r="R5" s="1121"/>
      <c r="S5" s="1121"/>
      <c r="T5" s="1121"/>
      <c r="U5" s="1122"/>
    </row>
    <row r="6" spans="1:23" ht="28.5" hidden="1" customHeight="1" thickBot="1" x14ac:dyDescent="0.25">
      <c r="A6" s="3"/>
      <c r="B6" s="3"/>
      <c r="D6" s="190"/>
      <c r="E6" s="242"/>
      <c r="F6" s="243"/>
    </row>
    <row r="7" spans="1:23" ht="14.25" hidden="1" customHeight="1" thickBot="1" x14ac:dyDescent="0.25">
      <c r="D7" s="4"/>
      <c r="E7" s="242"/>
      <c r="F7" s="243"/>
    </row>
    <row r="8" spans="1:23" ht="42" customHeight="1" thickBot="1" x14ac:dyDescent="0.25">
      <c r="A8" s="5" t="s">
        <v>528</v>
      </c>
      <c r="B8" s="6" t="s">
        <v>693</v>
      </c>
      <c r="C8" s="7" t="s">
        <v>790</v>
      </c>
      <c r="D8" s="7" t="s">
        <v>529</v>
      </c>
      <c r="E8" s="244" t="s">
        <v>544</v>
      </c>
      <c r="F8" s="245" t="s">
        <v>543</v>
      </c>
      <c r="H8" s="219" t="s">
        <v>281</v>
      </c>
      <c r="I8" s="217" t="s">
        <v>776</v>
      </c>
      <c r="J8" s="217" t="s">
        <v>270</v>
      </c>
      <c r="K8" s="217" t="s">
        <v>775</v>
      </c>
      <c r="L8" s="217" t="s">
        <v>774</v>
      </c>
      <c r="M8" s="217" t="s">
        <v>773</v>
      </c>
      <c r="N8" s="217" t="s">
        <v>772</v>
      </c>
      <c r="O8" s="217" t="s">
        <v>771</v>
      </c>
      <c r="P8" s="217" t="s">
        <v>766</v>
      </c>
      <c r="Q8" s="217" t="s">
        <v>767</v>
      </c>
      <c r="R8" s="217" t="s">
        <v>769</v>
      </c>
      <c r="S8" s="217" t="s">
        <v>768</v>
      </c>
      <c r="T8" s="217" t="s">
        <v>770</v>
      </c>
      <c r="U8" s="218" t="s">
        <v>266</v>
      </c>
      <c r="W8" s="323" t="str">
        <f>IF(MAX(SUM(W10:W571))&gt;0,"Amount Unreconciled",IF(MIN(SUM(W10:W571))&lt;0,"Amount Unreconciled",""))</f>
        <v>Amount Unreconciled</v>
      </c>
    </row>
    <row r="9" spans="1:23" ht="12.75" customHeight="1" thickBot="1" x14ac:dyDescent="0.25">
      <c r="A9" s="8"/>
      <c r="B9" s="926"/>
      <c r="C9" s="927"/>
      <c r="D9" s="927"/>
      <c r="E9" s="928"/>
      <c r="F9" s="929"/>
    </row>
    <row r="10" spans="1:23" ht="25.5" x14ac:dyDescent="0.2">
      <c r="A10" s="1101" t="s">
        <v>426</v>
      </c>
      <c r="B10" s="136" t="s">
        <v>548</v>
      </c>
      <c r="C10" s="137" t="s">
        <v>427</v>
      </c>
      <c r="D10" s="1005" t="s">
        <v>1073</v>
      </c>
      <c r="E10" s="246">
        <v>240735</v>
      </c>
      <c r="F10" s="247"/>
      <c r="H10" s="43" t="s">
        <v>290</v>
      </c>
      <c r="I10" s="302">
        <f t="shared" ref="I10:I17" si="0">IF($H10="Monthly",$E10/12,IF($H10="Quarterly (From April)",$E10/4,IF($H10="Termly",$E10/3,IF($H10="Monthly (excl. August)",$E10/11,""))))</f>
        <v>20061.25</v>
      </c>
      <c r="J10" s="302">
        <f t="shared" ref="J10:K17" si="1">IF($H10="Monthly",$E10/12,IF($H10="Quarterly (From April)",0,IF($H10="Termly",0,IF($H10="Monthly (excl. August)",$E10/11,""))))</f>
        <v>20061.25</v>
      </c>
      <c r="K10" s="302">
        <f t="shared" si="1"/>
        <v>20061.25</v>
      </c>
      <c r="L10" s="302">
        <f t="shared" ref="L10:L17" si="2">IF($H10="Monthly",$E10/12,IF($H10="Quarterly (From April)",$E10/4,IF($H10="Termly",0,IF($H10="Monthly (excl. August)",$E10/11,""))))</f>
        <v>20061.25</v>
      </c>
      <c r="M10" s="302">
        <f t="shared" ref="M10:M17" si="3">IF($H10="Monthly",$E10/12,IF($H10="Quarterly (From April)",0,IF($H10="Termly",0,IF($H10="Monthly (excl. August)",0,""))))</f>
        <v>20061.25</v>
      </c>
      <c r="N10" s="302">
        <f t="shared" ref="N10:N17" si="4">IF($H10="Monthly",$E10/12,IF($H10="Quarterly (From April)",0,IF($H10="Termly",$E10/3,IF($H10="Monthly (excl. August)",$E10/11,""))))</f>
        <v>20061.25</v>
      </c>
      <c r="O10" s="302">
        <f t="shared" ref="O10:O17" si="5">IF($H10="Monthly",$E10/12,IF($H10="Quarterly (From April)",$E10/4,IF($H10="Termly",0,IF($H10="Monthly (excl. August)",$E10/11,""))))</f>
        <v>20061.25</v>
      </c>
      <c r="P10" s="302">
        <f t="shared" ref="P10:Q17" si="6">IF($H10="Monthly",$E10/12,IF($H10="Quarterly (From April)",0,IF($H10="Termly",0,IF($H10="Monthly (excl. August)",$E10/11,""))))</f>
        <v>20061.25</v>
      </c>
      <c r="Q10" s="302">
        <f t="shared" si="6"/>
        <v>20061.25</v>
      </c>
      <c r="R10" s="302">
        <f t="shared" ref="R10:R17" si="7">IF($H10="Monthly",$E10/12,IF($H10="Quarterly (From April)",$E10/4,IF($H10="Termly",$E10/3,IF($H10="Monthly (excl. August)",$E10/11,""))))</f>
        <v>20061.25</v>
      </c>
      <c r="S10" s="302">
        <f t="shared" ref="S10:T17" si="8">IF($H10="Monthly",$E10/12,IF($H10="Quarterly (From April)",0,IF($H10="Termly",0,IF($H10="Monthly (excl. August)",$E10/11,""))))</f>
        <v>20061.25</v>
      </c>
      <c r="T10" s="302">
        <f t="shared" si="8"/>
        <v>20061.25</v>
      </c>
      <c r="U10" s="303">
        <f>E10</f>
        <v>240735</v>
      </c>
      <c r="V10" s="214">
        <f>IF(ROUND(SUM(I10:T10),0)&gt;U10,1,IF(ROUND(SUM(I10:T10),0)&lt;U10,1,0))</f>
        <v>0</v>
      </c>
      <c r="W10" s="322">
        <f>ROUND(SUM(I10:T10)-U10,0)</f>
        <v>0</v>
      </c>
    </row>
    <row r="11" spans="1:23" x14ac:dyDescent="0.2">
      <c r="A11" s="1099"/>
      <c r="B11" s="138" t="s">
        <v>550</v>
      </c>
      <c r="C11" s="139" t="s">
        <v>428</v>
      </c>
      <c r="D11" s="94"/>
      <c r="E11" s="248"/>
      <c r="F11" s="249"/>
      <c r="H11" s="43" t="s">
        <v>267</v>
      </c>
      <c r="I11" s="302" t="str">
        <f t="shared" si="0"/>
        <v/>
      </c>
      <c r="J11" s="302" t="str">
        <f t="shared" si="1"/>
        <v/>
      </c>
      <c r="K11" s="302" t="str">
        <f t="shared" si="1"/>
        <v/>
      </c>
      <c r="L11" s="302" t="str">
        <f t="shared" si="2"/>
        <v/>
      </c>
      <c r="M11" s="302" t="str">
        <f t="shared" si="3"/>
        <v/>
      </c>
      <c r="N11" s="302" t="str">
        <f t="shared" si="4"/>
        <v/>
      </c>
      <c r="O11" s="302" t="str">
        <f t="shared" si="5"/>
        <v/>
      </c>
      <c r="P11" s="302" t="str">
        <f t="shared" si="6"/>
        <v/>
      </c>
      <c r="Q11" s="302" t="str">
        <f t="shared" si="6"/>
        <v/>
      </c>
      <c r="R11" s="302" t="str">
        <f t="shared" si="7"/>
        <v/>
      </c>
      <c r="S11" s="302" t="str">
        <f t="shared" si="8"/>
        <v/>
      </c>
      <c r="T11" s="302" t="str">
        <f t="shared" si="8"/>
        <v/>
      </c>
      <c r="U11" s="303">
        <f t="shared" ref="U11:U17" si="9">E11</f>
        <v>0</v>
      </c>
      <c r="V11" s="214">
        <f t="shared" ref="V11:V17" si="10">IF(ROUND(SUM(I11:T11),0)&gt;U11,1,IF(ROUND(SUM(I11:T11),0)&lt;U11,1,0))</f>
        <v>0</v>
      </c>
      <c r="W11" s="322">
        <f t="shared" ref="W11:W17" si="11">ROUND(SUM(I11:T11)-U11,0)</f>
        <v>0</v>
      </c>
    </row>
    <row r="12" spans="1:23" x14ac:dyDescent="0.2">
      <c r="A12" s="1099"/>
      <c r="B12" s="138" t="s">
        <v>551</v>
      </c>
      <c r="C12" s="139" t="s">
        <v>429</v>
      </c>
      <c r="D12" s="94"/>
      <c r="E12" s="248"/>
      <c r="F12" s="249"/>
      <c r="H12" s="43" t="s">
        <v>267</v>
      </c>
      <c r="I12" s="302" t="str">
        <f t="shared" si="0"/>
        <v/>
      </c>
      <c r="J12" s="302" t="str">
        <f t="shared" si="1"/>
        <v/>
      </c>
      <c r="K12" s="302" t="str">
        <f t="shared" si="1"/>
        <v/>
      </c>
      <c r="L12" s="302" t="str">
        <f t="shared" si="2"/>
        <v/>
      </c>
      <c r="M12" s="302" t="str">
        <f t="shared" si="3"/>
        <v/>
      </c>
      <c r="N12" s="302" t="str">
        <f t="shared" si="4"/>
        <v/>
      </c>
      <c r="O12" s="302" t="str">
        <f t="shared" si="5"/>
        <v/>
      </c>
      <c r="P12" s="302" t="str">
        <f t="shared" si="6"/>
        <v/>
      </c>
      <c r="Q12" s="302" t="str">
        <f t="shared" si="6"/>
        <v/>
      </c>
      <c r="R12" s="302" t="str">
        <f t="shared" si="7"/>
        <v/>
      </c>
      <c r="S12" s="302" t="str">
        <f t="shared" si="8"/>
        <v/>
      </c>
      <c r="T12" s="302" t="str">
        <f t="shared" si="8"/>
        <v/>
      </c>
      <c r="U12" s="303">
        <f t="shared" si="9"/>
        <v>0</v>
      </c>
      <c r="V12" s="214">
        <f t="shared" si="10"/>
        <v>0</v>
      </c>
      <c r="W12" s="322">
        <f t="shared" si="11"/>
        <v>0</v>
      </c>
    </row>
    <row r="13" spans="1:23" x14ac:dyDescent="0.2">
      <c r="A13" s="1099"/>
      <c r="B13" s="138" t="s">
        <v>602</v>
      </c>
      <c r="C13" s="139" t="s">
        <v>601</v>
      </c>
      <c r="D13" s="94"/>
      <c r="E13" s="248"/>
      <c r="F13" s="249"/>
      <c r="H13" s="43" t="s">
        <v>267</v>
      </c>
      <c r="I13" s="302" t="str">
        <f t="shared" si="0"/>
        <v/>
      </c>
      <c r="J13" s="302" t="str">
        <f t="shared" si="1"/>
        <v/>
      </c>
      <c r="K13" s="302" t="str">
        <f t="shared" si="1"/>
        <v/>
      </c>
      <c r="L13" s="302" t="str">
        <f t="shared" si="2"/>
        <v/>
      </c>
      <c r="M13" s="302" t="str">
        <f t="shared" si="3"/>
        <v/>
      </c>
      <c r="N13" s="302" t="str">
        <f t="shared" si="4"/>
        <v/>
      </c>
      <c r="O13" s="302" t="str">
        <f t="shared" si="5"/>
        <v/>
      </c>
      <c r="P13" s="302" t="str">
        <f t="shared" si="6"/>
        <v/>
      </c>
      <c r="Q13" s="302" t="str">
        <f t="shared" si="6"/>
        <v/>
      </c>
      <c r="R13" s="302" t="str">
        <f t="shared" si="7"/>
        <v/>
      </c>
      <c r="S13" s="302" t="str">
        <f t="shared" si="8"/>
        <v/>
      </c>
      <c r="T13" s="302" t="str">
        <f t="shared" si="8"/>
        <v/>
      </c>
      <c r="U13" s="303">
        <f t="shared" si="9"/>
        <v>0</v>
      </c>
      <c r="V13" s="214">
        <f t="shared" si="10"/>
        <v>0</v>
      </c>
      <c r="W13" s="322">
        <f t="shared" si="11"/>
        <v>0</v>
      </c>
    </row>
    <row r="14" spans="1:23" x14ac:dyDescent="0.2">
      <c r="A14" s="1099"/>
      <c r="B14" s="138"/>
      <c r="C14" s="1004"/>
      <c r="D14" s="114" t="s">
        <v>1068</v>
      </c>
      <c r="E14" s="248">
        <v>17857</v>
      </c>
      <c r="F14" s="249"/>
      <c r="H14" s="43" t="s">
        <v>291</v>
      </c>
      <c r="I14" s="302">
        <v>2949</v>
      </c>
      <c r="J14" s="302">
        <v>2949</v>
      </c>
      <c r="K14" s="302">
        <v>2949</v>
      </c>
      <c r="L14" s="302">
        <v>2949</v>
      </c>
      <c r="M14" s="302">
        <v>6061</v>
      </c>
      <c r="N14" s="302" t="str">
        <f t="shared" si="4"/>
        <v/>
      </c>
      <c r="O14" s="302" t="str">
        <f t="shared" si="5"/>
        <v/>
      </c>
      <c r="P14" s="302" t="str">
        <f t="shared" si="6"/>
        <v/>
      </c>
      <c r="Q14" s="302" t="str">
        <f t="shared" si="6"/>
        <v/>
      </c>
      <c r="R14" s="302" t="str">
        <f t="shared" si="7"/>
        <v/>
      </c>
      <c r="S14" s="302" t="str">
        <f t="shared" si="8"/>
        <v/>
      </c>
      <c r="T14" s="302" t="str">
        <f t="shared" si="8"/>
        <v/>
      </c>
      <c r="U14" s="303">
        <f t="shared" si="9"/>
        <v>17857</v>
      </c>
      <c r="V14" s="214">
        <f t="shared" si="10"/>
        <v>0</v>
      </c>
      <c r="W14" s="322">
        <f t="shared" si="11"/>
        <v>0</v>
      </c>
    </row>
    <row r="15" spans="1:23" x14ac:dyDescent="0.2">
      <c r="A15" s="1099"/>
      <c r="B15" s="138"/>
      <c r="C15" s="139"/>
      <c r="D15" s="1006" t="s">
        <v>1067</v>
      </c>
      <c r="E15" s="248">
        <v>7875</v>
      </c>
      <c r="F15" s="249"/>
      <c r="H15" s="43" t="s">
        <v>291</v>
      </c>
      <c r="I15" s="302"/>
      <c r="J15" s="302">
        <v>2625</v>
      </c>
      <c r="K15" s="302">
        <v>2625</v>
      </c>
      <c r="L15" s="302">
        <v>2625</v>
      </c>
      <c r="M15" s="302" t="str">
        <f t="shared" si="3"/>
        <v/>
      </c>
      <c r="N15" s="302" t="str">
        <f t="shared" si="4"/>
        <v/>
      </c>
      <c r="O15" s="302" t="str">
        <f t="shared" si="5"/>
        <v/>
      </c>
      <c r="P15" s="302" t="str">
        <f t="shared" si="6"/>
        <v/>
      </c>
      <c r="Q15" s="302" t="str">
        <f t="shared" si="6"/>
        <v/>
      </c>
      <c r="R15" s="302" t="str">
        <f t="shared" si="7"/>
        <v/>
      </c>
      <c r="S15" s="302" t="str">
        <f t="shared" si="8"/>
        <v/>
      </c>
      <c r="T15" s="302" t="str">
        <f t="shared" si="8"/>
        <v/>
      </c>
      <c r="U15" s="303">
        <f t="shared" si="9"/>
        <v>7875</v>
      </c>
      <c r="V15" s="214">
        <f t="shared" si="10"/>
        <v>0</v>
      </c>
      <c r="W15" s="322">
        <f t="shared" si="11"/>
        <v>0</v>
      </c>
    </row>
    <row r="16" spans="1:23" x14ac:dyDescent="0.2">
      <c r="A16" s="1099"/>
      <c r="B16" s="140"/>
      <c r="C16" s="139"/>
      <c r="D16" s="95"/>
      <c r="E16" s="250"/>
      <c r="F16" s="251"/>
      <c r="H16" s="43" t="s">
        <v>267</v>
      </c>
      <c r="I16" s="302" t="str">
        <f t="shared" si="0"/>
        <v/>
      </c>
      <c r="J16" s="302" t="str">
        <f t="shared" si="1"/>
        <v/>
      </c>
      <c r="K16" s="302" t="str">
        <f t="shared" si="1"/>
        <v/>
      </c>
      <c r="L16" s="302" t="str">
        <f t="shared" si="2"/>
        <v/>
      </c>
      <c r="M16" s="302" t="str">
        <f t="shared" si="3"/>
        <v/>
      </c>
      <c r="N16" s="302" t="str">
        <f t="shared" si="4"/>
        <v/>
      </c>
      <c r="O16" s="302" t="str">
        <f t="shared" si="5"/>
        <v/>
      </c>
      <c r="P16" s="302" t="str">
        <f t="shared" si="6"/>
        <v/>
      </c>
      <c r="Q16" s="302" t="str">
        <f t="shared" si="6"/>
        <v/>
      </c>
      <c r="R16" s="302" t="str">
        <f t="shared" si="7"/>
        <v/>
      </c>
      <c r="S16" s="302" t="str">
        <f t="shared" si="8"/>
        <v/>
      </c>
      <c r="T16" s="302" t="str">
        <f t="shared" si="8"/>
        <v/>
      </c>
      <c r="U16" s="303">
        <f t="shared" si="9"/>
        <v>0</v>
      </c>
      <c r="V16" s="214">
        <f t="shared" si="10"/>
        <v>0</v>
      </c>
      <c r="W16" s="322">
        <f t="shared" si="11"/>
        <v>0</v>
      </c>
    </row>
    <row r="17" spans="1:23" ht="13.5" thickBot="1" x14ac:dyDescent="0.25">
      <c r="A17" s="1100"/>
      <c r="B17" s="930"/>
      <c r="C17" s="931"/>
      <c r="D17" s="100"/>
      <c r="E17" s="256"/>
      <c r="F17" s="257">
        <f>SUM(E10:E17)</f>
        <v>266467</v>
      </c>
      <c r="H17" s="43" t="s">
        <v>267</v>
      </c>
      <c r="I17" s="302" t="str">
        <f t="shared" si="0"/>
        <v/>
      </c>
      <c r="J17" s="302" t="str">
        <f t="shared" si="1"/>
        <v/>
      </c>
      <c r="K17" s="302" t="str">
        <f t="shared" si="1"/>
        <v/>
      </c>
      <c r="L17" s="302" t="str">
        <f t="shared" si="2"/>
        <v/>
      </c>
      <c r="M17" s="302" t="str">
        <f t="shared" si="3"/>
        <v/>
      </c>
      <c r="N17" s="302" t="str">
        <f t="shared" si="4"/>
        <v/>
      </c>
      <c r="O17" s="302" t="str">
        <f t="shared" si="5"/>
        <v/>
      </c>
      <c r="P17" s="302" t="str">
        <f t="shared" si="6"/>
        <v/>
      </c>
      <c r="Q17" s="302" t="str">
        <f t="shared" si="6"/>
        <v/>
      </c>
      <c r="R17" s="302" t="str">
        <f t="shared" si="7"/>
        <v/>
      </c>
      <c r="S17" s="302" t="str">
        <f t="shared" si="8"/>
        <v/>
      </c>
      <c r="T17" s="302" t="str">
        <f t="shared" si="8"/>
        <v/>
      </c>
      <c r="U17" s="303">
        <f t="shared" si="9"/>
        <v>0</v>
      </c>
      <c r="V17" s="214">
        <f t="shared" si="10"/>
        <v>0</v>
      </c>
      <c r="W17" s="322">
        <f t="shared" si="11"/>
        <v>0</v>
      </c>
    </row>
    <row r="18" spans="1:23" ht="13.5" thickBot="1" x14ac:dyDescent="0.25">
      <c r="A18" s="10"/>
      <c r="B18" s="116"/>
      <c r="C18" s="97"/>
      <c r="D18" s="98"/>
      <c r="E18" s="254"/>
      <c r="F18" s="255"/>
      <c r="I18" s="304"/>
      <c r="J18" s="304"/>
      <c r="K18" s="304"/>
      <c r="L18" s="304"/>
      <c r="M18" s="304"/>
      <c r="N18" s="304"/>
      <c r="O18" s="304"/>
      <c r="P18" s="304"/>
      <c r="Q18" s="304"/>
      <c r="R18" s="304"/>
      <c r="S18" s="304"/>
      <c r="T18" s="304"/>
      <c r="U18" s="305"/>
      <c r="V18" s="214"/>
      <c r="W18" s="322"/>
    </row>
    <row r="19" spans="1:23" ht="25.5" x14ac:dyDescent="0.2">
      <c r="A19" s="1101" t="s">
        <v>723</v>
      </c>
      <c r="B19" s="932" t="s">
        <v>549</v>
      </c>
      <c r="C19" s="933" t="s">
        <v>430</v>
      </c>
      <c r="D19" s="1011" t="s">
        <v>1080</v>
      </c>
      <c r="E19" s="246">
        <v>3808</v>
      </c>
      <c r="F19" s="247"/>
      <c r="H19" s="43" t="s">
        <v>293</v>
      </c>
      <c r="I19" s="302">
        <f t="shared" ref="I19:I24" si="12">IF($H19="Monthly",$E19/12,IF($H19="Quarterly (From April)",$E19/4,IF($H19="Termly",$E19/3,IF($H19="Monthly (excl. August)",$E19/11,""))))</f>
        <v>1269.3333333333333</v>
      </c>
      <c r="J19" s="302">
        <f t="shared" ref="J19:K24" si="13">IF($H19="Monthly",$E19/12,IF($H19="Quarterly (From April)",0,IF($H19="Termly",0,IF($H19="Monthly (excl. August)",$E19/11,""))))</f>
        <v>0</v>
      </c>
      <c r="K19" s="302">
        <f t="shared" si="13"/>
        <v>0</v>
      </c>
      <c r="L19" s="302">
        <f t="shared" ref="L19:L24" si="14">IF($H19="Monthly",$E19/12,IF($H19="Quarterly (From April)",$E19/4,IF($H19="Termly",0,IF($H19="Monthly (excl. August)",$E19/11,""))))</f>
        <v>0</v>
      </c>
      <c r="M19" s="302">
        <f t="shared" ref="M19:M24" si="15">IF($H19="Monthly",$E19/12,IF($H19="Quarterly (From April)",0,IF($H19="Termly",0,IF($H19="Monthly (excl. August)",0,""))))</f>
        <v>0</v>
      </c>
      <c r="N19" s="302">
        <f t="shared" ref="N19:N24" si="16">IF($H19="Monthly",$E19/12,IF($H19="Quarterly (From April)",0,IF($H19="Termly",$E19/3,IF($H19="Monthly (excl. August)",$E19/11,""))))</f>
        <v>1269.3333333333333</v>
      </c>
      <c r="O19" s="302">
        <f t="shared" ref="O19:O24" si="17">IF($H19="Monthly",$E19/12,IF($H19="Quarterly (From April)",$E19/4,IF($H19="Termly",0,IF($H19="Monthly (excl. August)",$E19/11,""))))</f>
        <v>0</v>
      </c>
      <c r="P19" s="302">
        <f t="shared" ref="P19:Q24" si="18">IF($H19="Monthly",$E19/12,IF($H19="Quarterly (From April)",0,IF($H19="Termly",0,IF($H19="Monthly (excl. August)",$E19/11,""))))</f>
        <v>0</v>
      </c>
      <c r="Q19" s="302">
        <f t="shared" si="18"/>
        <v>0</v>
      </c>
      <c r="R19" s="302">
        <f t="shared" ref="R19:R24" si="19">IF($H19="Monthly",$E19/12,IF($H19="Quarterly (From April)",$E19/4,IF($H19="Termly",$E19/3,IF($H19="Monthly (excl. August)",$E19/11,""))))</f>
        <v>1269.3333333333333</v>
      </c>
      <c r="S19" s="302">
        <f t="shared" ref="S19:T24" si="20">IF($H19="Monthly",$E19/12,IF($H19="Quarterly (From April)",0,IF($H19="Termly",0,IF($H19="Monthly (excl. August)",$E19/11,""))))</f>
        <v>0</v>
      </c>
      <c r="T19" s="302">
        <f t="shared" si="20"/>
        <v>0</v>
      </c>
      <c r="U19" s="303">
        <f t="shared" ref="U19:U24" si="21">E19</f>
        <v>3808</v>
      </c>
      <c r="V19" s="214">
        <f t="shared" ref="V19:V24" si="22">IF(ROUND(SUM(I19:T19),0)&gt;U19,1,IF(ROUND(SUM(I19:T19),0)&lt;U19,1,0))</f>
        <v>0</v>
      </c>
      <c r="W19" s="322">
        <f t="shared" ref="W19:W24" si="23">ROUND(SUM(I19:T19)-U19,0)</f>
        <v>0</v>
      </c>
    </row>
    <row r="20" spans="1:23" x14ac:dyDescent="0.2">
      <c r="A20" s="1099"/>
      <c r="B20" s="140" t="s">
        <v>553</v>
      </c>
      <c r="C20" s="141" t="s">
        <v>431</v>
      </c>
      <c r="D20" s="99"/>
      <c r="E20" s="250"/>
      <c r="F20" s="251"/>
      <c r="H20" s="43" t="s">
        <v>267</v>
      </c>
      <c r="I20" s="302" t="str">
        <f t="shared" si="12"/>
        <v/>
      </c>
      <c r="J20" s="302" t="str">
        <f t="shared" si="13"/>
        <v/>
      </c>
      <c r="K20" s="302" t="str">
        <f t="shared" si="13"/>
        <v/>
      </c>
      <c r="L20" s="302" t="str">
        <f t="shared" si="14"/>
        <v/>
      </c>
      <c r="M20" s="302" t="str">
        <f t="shared" si="15"/>
        <v/>
      </c>
      <c r="N20" s="302" t="str">
        <f t="shared" si="16"/>
        <v/>
      </c>
      <c r="O20" s="302" t="str">
        <f t="shared" si="17"/>
        <v/>
      </c>
      <c r="P20" s="302" t="str">
        <f t="shared" si="18"/>
        <v/>
      </c>
      <c r="Q20" s="302" t="str">
        <f t="shared" si="18"/>
        <v/>
      </c>
      <c r="R20" s="302" t="str">
        <f t="shared" si="19"/>
        <v/>
      </c>
      <c r="S20" s="302" t="str">
        <f t="shared" si="20"/>
        <v/>
      </c>
      <c r="T20" s="302" t="str">
        <f t="shared" si="20"/>
        <v/>
      </c>
      <c r="U20" s="303">
        <f t="shared" si="21"/>
        <v>0</v>
      </c>
      <c r="V20" s="214">
        <f t="shared" si="22"/>
        <v>0</v>
      </c>
      <c r="W20" s="322">
        <f t="shared" si="23"/>
        <v>0</v>
      </c>
    </row>
    <row r="21" spans="1:23" x14ac:dyDescent="0.2">
      <c r="A21" s="1099"/>
      <c r="B21" s="140" t="s">
        <v>556</v>
      </c>
      <c r="C21" s="110" t="s">
        <v>432</v>
      </c>
      <c r="D21" s="99"/>
      <c r="E21" s="250"/>
      <c r="F21" s="251"/>
      <c r="H21" s="43" t="s">
        <v>267</v>
      </c>
      <c r="I21" s="302" t="str">
        <f t="shared" si="12"/>
        <v/>
      </c>
      <c r="J21" s="302" t="str">
        <f t="shared" si="13"/>
        <v/>
      </c>
      <c r="K21" s="302" t="str">
        <f t="shared" si="13"/>
        <v/>
      </c>
      <c r="L21" s="302" t="str">
        <f t="shared" si="14"/>
        <v/>
      </c>
      <c r="M21" s="302" t="str">
        <f t="shared" si="15"/>
        <v/>
      </c>
      <c r="N21" s="302" t="str">
        <f t="shared" si="16"/>
        <v/>
      </c>
      <c r="O21" s="302" t="str">
        <f t="shared" si="17"/>
        <v/>
      </c>
      <c r="P21" s="302" t="str">
        <f t="shared" si="18"/>
        <v/>
      </c>
      <c r="Q21" s="302" t="str">
        <f t="shared" si="18"/>
        <v/>
      </c>
      <c r="R21" s="302" t="str">
        <f t="shared" si="19"/>
        <v/>
      </c>
      <c r="S21" s="302" t="str">
        <f t="shared" si="20"/>
        <v/>
      </c>
      <c r="T21" s="302" t="str">
        <f t="shared" si="20"/>
        <v/>
      </c>
      <c r="U21" s="303">
        <f t="shared" si="21"/>
        <v>0</v>
      </c>
      <c r="V21" s="214">
        <f t="shared" si="22"/>
        <v>0</v>
      </c>
      <c r="W21" s="322">
        <f t="shared" si="23"/>
        <v>0</v>
      </c>
    </row>
    <row r="22" spans="1:23" x14ac:dyDescent="0.2">
      <c r="A22" s="1099"/>
      <c r="B22" s="140" t="s">
        <v>621</v>
      </c>
      <c r="C22" s="110" t="s">
        <v>623</v>
      </c>
      <c r="D22" s="99"/>
      <c r="E22" s="250"/>
      <c r="F22" s="251"/>
      <c r="H22" s="43" t="s">
        <v>267</v>
      </c>
      <c r="I22" s="302" t="str">
        <f t="shared" si="12"/>
        <v/>
      </c>
      <c r="J22" s="302" t="str">
        <f t="shared" si="13"/>
        <v/>
      </c>
      <c r="K22" s="302" t="str">
        <f t="shared" si="13"/>
        <v/>
      </c>
      <c r="L22" s="302" t="str">
        <f t="shared" si="14"/>
        <v/>
      </c>
      <c r="M22" s="302" t="str">
        <f t="shared" si="15"/>
        <v/>
      </c>
      <c r="N22" s="302" t="str">
        <f t="shared" si="16"/>
        <v/>
      </c>
      <c r="O22" s="302" t="str">
        <f t="shared" si="17"/>
        <v/>
      </c>
      <c r="P22" s="302" t="str">
        <f t="shared" si="18"/>
        <v/>
      </c>
      <c r="Q22" s="302" t="str">
        <f t="shared" si="18"/>
        <v/>
      </c>
      <c r="R22" s="302" t="str">
        <f t="shared" si="19"/>
        <v/>
      </c>
      <c r="S22" s="302" t="str">
        <f t="shared" si="20"/>
        <v/>
      </c>
      <c r="T22" s="302" t="str">
        <f t="shared" si="20"/>
        <v/>
      </c>
      <c r="U22" s="303">
        <f t="shared" si="21"/>
        <v>0</v>
      </c>
      <c r="V22" s="214">
        <f t="shared" si="22"/>
        <v>0</v>
      </c>
      <c r="W22" s="322">
        <f t="shared" si="23"/>
        <v>0</v>
      </c>
    </row>
    <row r="23" spans="1:23" x14ac:dyDescent="0.2">
      <c r="A23" s="1099"/>
      <c r="B23" s="140" t="s">
        <v>622</v>
      </c>
      <c r="C23" s="110" t="s">
        <v>626</v>
      </c>
      <c r="D23" s="99"/>
      <c r="E23" s="250"/>
      <c r="F23" s="251"/>
      <c r="H23" s="43" t="s">
        <v>267</v>
      </c>
      <c r="I23" s="302" t="str">
        <f t="shared" si="12"/>
        <v/>
      </c>
      <c r="J23" s="302" t="str">
        <f t="shared" si="13"/>
        <v/>
      </c>
      <c r="K23" s="302" t="str">
        <f t="shared" si="13"/>
        <v/>
      </c>
      <c r="L23" s="302" t="str">
        <f t="shared" si="14"/>
        <v/>
      </c>
      <c r="M23" s="302" t="str">
        <f t="shared" si="15"/>
        <v/>
      </c>
      <c r="N23" s="302" t="str">
        <f t="shared" si="16"/>
        <v/>
      </c>
      <c r="O23" s="302" t="str">
        <f t="shared" si="17"/>
        <v/>
      </c>
      <c r="P23" s="302" t="str">
        <f t="shared" si="18"/>
        <v/>
      </c>
      <c r="Q23" s="302" t="str">
        <f t="shared" si="18"/>
        <v/>
      </c>
      <c r="R23" s="302" t="str">
        <f t="shared" si="19"/>
        <v/>
      </c>
      <c r="S23" s="302" t="str">
        <f t="shared" si="20"/>
        <v/>
      </c>
      <c r="T23" s="302" t="str">
        <f t="shared" si="20"/>
        <v/>
      </c>
      <c r="U23" s="303">
        <f t="shared" si="21"/>
        <v>0</v>
      </c>
      <c r="V23" s="214">
        <f t="shared" si="22"/>
        <v>0</v>
      </c>
      <c r="W23" s="322">
        <f t="shared" si="23"/>
        <v>0</v>
      </c>
    </row>
    <row r="24" spans="1:23" ht="13.5" thickBot="1" x14ac:dyDescent="0.25">
      <c r="A24" s="1100"/>
      <c r="B24" s="142">
        <v>8389</v>
      </c>
      <c r="C24" s="143" t="s">
        <v>433</v>
      </c>
      <c r="D24" s="308"/>
      <c r="E24" s="309"/>
      <c r="F24" s="257">
        <f>SUM(E19:E24)</f>
        <v>3808</v>
      </c>
      <c r="H24" s="43" t="s">
        <v>267</v>
      </c>
      <c r="I24" s="302" t="str">
        <f t="shared" si="12"/>
        <v/>
      </c>
      <c r="J24" s="302" t="str">
        <f t="shared" si="13"/>
        <v/>
      </c>
      <c r="K24" s="302" t="str">
        <f t="shared" si="13"/>
        <v/>
      </c>
      <c r="L24" s="302" t="str">
        <f t="shared" si="14"/>
        <v/>
      </c>
      <c r="M24" s="302" t="str">
        <f t="shared" si="15"/>
        <v/>
      </c>
      <c r="N24" s="302" t="str">
        <f t="shared" si="16"/>
        <v/>
      </c>
      <c r="O24" s="302" t="str">
        <f t="shared" si="17"/>
        <v/>
      </c>
      <c r="P24" s="302" t="str">
        <f t="shared" si="18"/>
        <v/>
      </c>
      <c r="Q24" s="302" t="str">
        <f t="shared" si="18"/>
        <v/>
      </c>
      <c r="R24" s="302" t="str">
        <f t="shared" si="19"/>
        <v/>
      </c>
      <c r="S24" s="302" t="str">
        <f t="shared" si="20"/>
        <v/>
      </c>
      <c r="T24" s="302" t="str">
        <f t="shared" si="20"/>
        <v/>
      </c>
      <c r="U24" s="303">
        <f t="shared" si="21"/>
        <v>0</v>
      </c>
      <c r="V24" s="214">
        <f t="shared" si="22"/>
        <v>0</v>
      </c>
      <c r="W24" s="322">
        <f t="shared" si="23"/>
        <v>0</v>
      </c>
    </row>
    <row r="25" spans="1:23" ht="13.5" thickBot="1" x14ac:dyDescent="0.25">
      <c r="A25" s="8"/>
      <c r="B25" s="118"/>
      <c r="C25" s="934"/>
      <c r="D25" s="935"/>
      <c r="E25" s="267"/>
      <c r="F25" s="268"/>
      <c r="G25" s="11"/>
      <c r="I25" s="304"/>
      <c r="J25" s="304"/>
      <c r="K25" s="304"/>
      <c r="L25" s="304"/>
      <c r="M25" s="304"/>
      <c r="N25" s="304"/>
      <c r="O25" s="304"/>
      <c r="P25" s="304"/>
      <c r="Q25" s="304"/>
      <c r="R25" s="304"/>
      <c r="S25" s="304"/>
      <c r="T25" s="304"/>
      <c r="U25" s="305"/>
      <c r="W25" s="322"/>
    </row>
    <row r="26" spans="1:23" x14ac:dyDescent="0.2">
      <c r="A26" s="1098" t="s">
        <v>434</v>
      </c>
      <c r="B26" s="136" t="s">
        <v>554</v>
      </c>
      <c r="C26" s="113" t="s">
        <v>435</v>
      </c>
      <c r="D26" s="1005" t="s">
        <v>1028</v>
      </c>
      <c r="E26" s="246">
        <v>32030</v>
      </c>
      <c r="F26" s="247"/>
      <c r="H26" s="43" t="s">
        <v>290</v>
      </c>
      <c r="I26" s="302">
        <f t="shared" ref="I26:I34" si="24">IF($H26="Monthly",$E26/12,IF($H26="Quarterly (From April)",$E26/4,IF($H26="Termly",$E26/3,IF($H26="Monthly (excl. August)",$E26/11,""))))</f>
        <v>2669.1666666666665</v>
      </c>
      <c r="J26" s="302">
        <f t="shared" ref="J26:K34" si="25">IF($H26="Monthly",$E26/12,IF($H26="Quarterly (From April)",0,IF($H26="Termly",0,IF($H26="Monthly (excl. August)",$E26/11,""))))</f>
        <v>2669.1666666666665</v>
      </c>
      <c r="K26" s="302">
        <f t="shared" si="25"/>
        <v>2669.1666666666665</v>
      </c>
      <c r="L26" s="302">
        <f t="shared" ref="L26:L34" si="26">IF($H26="Monthly",$E26/12,IF($H26="Quarterly (From April)",$E26/4,IF($H26="Termly",0,IF($H26="Monthly (excl. August)",$E26/11,""))))</f>
        <v>2669.1666666666665</v>
      </c>
      <c r="M26" s="302">
        <f t="shared" ref="M26:M34" si="27">IF($H26="Monthly",$E26/12,IF($H26="Quarterly (From April)",0,IF($H26="Termly",0,IF($H26="Monthly (excl. August)",0,""))))</f>
        <v>2669.1666666666665</v>
      </c>
      <c r="N26" s="302">
        <f t="shared" ref="N26:N34" si="28">IF($H26="Monthly",$E26/12,IF($H26="Quarterly (From April)",0,IF($H26="Termly",$E26/3,IF($H26="Monthly (excl. August)",$E26/11,""))))</f>
        <v>2669.1666666666665</v>
      </c>
      <c r="O26" s="302">
        <f t="shared" ref="O26:O34" si="29">IF($H26="Monthly",$E26/12,IF($H26="Quarterly (From April)",$E26/4,IF($H26="Termly",0,IF($H26="Monthly (excl. August)",$E26/11,""))))</f>
        <v>2669.1666666666665</v>
      </c>
      <c r="P26" s="302">
        <f t="shared" ref="P26:Q34" si="30">IF($H26="Monthly",$E26/12,IF($H26="Quarterly (From April)",0,IF($H26="Termly",0,IF($H26="Monthly (excl. August)",$E26/11,""))))</f>
        <v>2669.1666666666665</v>
      </c>
      <c r="Q26" s="302">
        <f t="shared" si="30"/>
        <v>2669.1666666666665</v>
      </c>
      <c r="R26" s="302">
        <f t="shared" ref="R26:R34" si="31">IF($H26="Monthly",$E26/12,IF($H26="Quarterly (From April)",$E26/4,IF($H26="Termly",$E26/3,IF($H26="Monthly (excl. August)",$E26/11,""))))</f>
        <v>2669.1666666666665</v>
      </c>
      <c r="S26" s="302">
        <f t="shared" ref="S26:T34" si="32">IF($H26="Monthly",$E26/12,IF($H26="Quarterly (From April)",0,IF($H26="Termly",0,IF($H26="Monthly (excl. August)",$E26/11,""))))</f>
        <v>2669.1666666666665</v>
      </c>
      <c r="T26" s="302">
        <f t="shared" si="32"/>
        <v>2669.1666666666665</v>
      </c>
      <c r="U26" s="303">
        <f t="shared" ref="U26:U34" si="33">E26</f>
        <v>32030</v>
      </c>
      <c r="V26" s="214">
        <f t="shared" ref="V26:V34" si="34">IF(ROUND(SUM(I26:T26),0)&gt;U26,1,IF(ROUND(SUM(I26:T26),0)&lt;U26,1,0))</f>
        <v>0</v>
      </c>
      <c r="W26" s="322">
        <f t="shared" ref="W26:W34" si="35">ROUND(SUM(I26:T26)-U26,0)</f>
        <v>0</v>
      </c>
    </row>
    <row r="27" spans="1:23" x14ac:dyDescent="0.2">
      <c r="A27" s="1099"/>
      <c r="B27" s="140" t="s">
        <v>557</v>
      </c>
      <c r="C27" s="108" t="s">
        <v>437</v>
      </c>
      <c r="D27" s="417" t="s">
        <v>1029</v>
      </c>
      <c r="E27" s="250">
        <v>900</v>
      </c>
      <c r="F27" s="251"/>
      <c r="H27" s="43" t="s">
        <v>293</v>
      </c>
      <c r="I27" s="302">
        <f t="shared" si="24"/>
        <v>300</v>
      </c>
      <c r="J27" s="302">
        <f t="shared" si="25"/>
        <v>0</v>
      </c>
      <c r="K27" s="302">
        <f t="shared" si="25"/>
        <v>0</v>
      </c>
      <c r="L27" s="302">
        <f t="shared" si="26"/>
        <v>0</v>
      </c>
      <c r="M27" s="302">
        <f t="shared" si="27"/>
        <v>0</v>
      </c>
      <c r="N27" s="302">
        <f t="shared" si="28"/>
        <v>300</v>
      </c>
      <c r="O27" s="302">
        <f t="shared" si="29"/>
        <v>0</v>
      </c>
      <c r="P27" s="302">
        <f t="shared" si="30"/>
        <v>0</v>
      </c>
      <c r="Q27" s="302">
        <f t="shared" si="30"/>
        <v>0</v>
      </c>
      <c r="R27" s="302">
        <f t="shared" si="31"/>
        <v>300</v>
      </c>
      <c r="S27" s="302">
        <f t="shared" si="32"/>
        <v>0</v>
      </c>
      <c r="T27" s="302">
        <f t="shared" si="32"/>
        <v>0</v>
      </c>
      <c r="U27" s="303">
        <f t="shared" si="33"/>
        <v>900</v>
      </c>
      <c r="V27" s="214">
        <f t="shared" si="34"/>
        <v>0</v>
      </c>
      <c r="W27" s="322">
        <f t="shared" si="35"/>
        <v>0</v>
      </c>
    </row>
    <row r="28" spans="1:23" x14ac:dyDescent="0.2">
      <c r="A28" s="1099"/>
      <c r="B28" s="140" t="s">
        <v>558</v>
      </c>
      <c r="C28" s="108" t="s">
        <v>438</v>
      </c>
      <c r="D28" s="95"/>
      <c r="E28" s="250"/>
      <c r="F28" s="251"/>
      <c r="H28" s="43" t="s">
        <v>267</v>
      </c>
      <c r="I28" s="302" t="str">
        <f t="shared" si="24"/>
        <v/>
      </c>
      <c r="J28" s="302" t="str">
        <f t="shared" si="25"/>
        <v/>
      </c>
      <c r="K28" s="302" t="str">
        <f t="shared" si="25"/>
        <v/>
      </c>
      <c r="L28" s="302" t="str">
        <f t="shared" si="26"/>
        <v/>
      </c>
      <c r="M28" s="302" t="str">
        <f t="shared" si="27"/>
        <v/>
      </c>
      <c r="N28" s="302" t="str">
        <f t="shared" si="28"/>
        <v/>
      </c>
      <c r="O28" s="302" t="str">
        <f t="shared" si="29"/>
        <v/>
      </c>
      <c r="P28" s="302" t="str">
        <f t="shared" si="30"/>
        <v/>
      </c>
      <c r="Q28" s="302" t="str">
        <f t="shared" si="30"/>
        <v/>
      </c>
      <c r="R28" s="302" t="str">
        <f t="shared" si="31"/>
        <v/>
      </c>
      <c r="S28" s="302" t="str">
        <f t="shared" si="32"/>
        <v/>
      </c>
      <c r="T28" s="302" t="str">
        <f t="shared" si="32"/>
        <v/>
      </c>
      <c r="U28" s="303">
        <f t="shared" si="33"/>
        <v>0</v>
      </c>
      <c r="V28" s="214">
        <f t="shared" si="34"/>
        <v>0</v>
      </c>
      <c r="W28" s="322">
        <f t="shared" si="35"/>
        <v>0</v>
      </c>
    </row>
    <row r="29" spans="1:23" x14ac:dyDescent="0.2">
      <c r="A29" s="1099"/>
      <c r="B29" s="140" t="s">
        <v>560</v>
      </c>
      <c r="C29" s="108" t="s">
        <v>440</v>
      </c>
      <c r="D29" s="418"/>
      <c r="E29" s="250"/>
      <c r="F29" s="251"/>
      <c r="H29" s="43" t="s">
        <v>267</v>
      </c>
      <c r="I29" s="302" t="str">
        <f t="shared" si="24"/>
        <v/>
      </c>
      <c r="J29" s="302" t="str">
        <f t="shared" si="25"/>
        <v/>
      </c>
      <c r="K29" s="302" t="str">
        <f t="shared" si="25"/>
        <v/>
      </c>
      <c r="L29" s="302" t="str">
        <f t="shared" si="26"/>
        <v/>
      </c>
      <c r="M29" s="302" t="str">
        <f t="shared" si="27"/>
        <v/>
      </c>
      <c r="N29" s="302" t="str">
        <f t="shared" si="28"/>
        <v/>
      </c>
      <c r="O29" s="302" t="str">
        <f t="shared" si="29"/>
        <v/>
      </c>
      <c r="P29" s="302" t="str">
        <f t="shared" si="30"/>
        <v/>
      </c>
      <c r="Q29" s="302" t="str">
        <f t="shared" si="30"/>
        <v/>
      </c>
      <c r="R29" s="302" t="str">
        <f t="shared" si="31"/>
        <v/>
      </c>
      <c r="S29" s="302" t="str">
        <f t="shared" si="32"/>
        <v/>
      </c>
      <c r="T29" s="302" t="str">
        <f t="shared" si="32"/>
        <v/>
      </c>
      <c r="U29" s="303">
        <f t="shared" si="33"/>
        <v>0</v>
      </c>
      <c r="V29" s="214">
        <f t="shared" si="34"/>
        <v>0</v>
      </c>
      <c r="W29" s="322">
        <f t="shared" si="35"/>
        <v>0</v>
      </c>
    </row>
    <row r="30" spans="1:23" x14ac:dyDescent="0.2">
      <c r="A30" s="1099"/>
      <c r="B30" s="140" t="s">
        <v>555</v>
      </c>
      <c r="C30" s="108" t="s">
        <v>436</v>
      </c>
      <c r="D30" s="95"/>
      <c r="E30" s="250"/>
      <c r="F30" s="251"/>
      <c r="H30" s="43" t="s">
        <v>267</v>
      </c>
      <c r="I30" s="302" t="str">
        <f t="shared" si="24"/>
        <v/>
      </c>
      <c r="J30" s="302" t="str">
        <f t="shared" si="25"/>
        <v/>
      </c>
      <c r="K30" s="302" t="str">
        <f t="shared" si="25"/>
        <v/>
      </c>
      <c r="L30" s="302" t="str">
        <f t="shared" si="26"/>
        <v/>
      </c>
      <c r="M30" s="302" t="str">
        <f t="shared" si="27"/>
        <v/>
      </c>
      <c r="N30" s="302" t="str">
        <f t="shared" si="28"/>
        <v/>
      </c>
      <c r="O30" s="302" t="str">
        <f t="shared" si="29"/>
        <v/>
      </c>
      <c r="P30" s="302" t="str">
        <f t="shared" si="30"/>
        <v/>
      </c>
      <c r="Q30" s="302" t="str">
        <f t="shared" si="30"/>
        <v/>
      </c>
      <c r="R30" s="302" t="str">
        <f t="shared" si="31"/>
        <v/>
      </c>
      <c r="S30" s="302" t="str">
        <f t="shared" si="32"/>
        <v/>
      </c>
      <c r="T30" s="302" t="str">
        <f t="shared" si="32"/>
        <v/>
      </c>
      <c r="U30" s="303">
        <f t="shared" si="33"/>
        <v>0</v>
      </c>
      <c r="V30" s="214">
        <f t="shared" si="34"/>
        <v>0</v>
      </c>
      <c r="W30" s="322">
        <f t="shared" si="35"/>
        <v>0</v>
      </c>
    </row>
    <row r="31" spans="1:23" x14ac:dyDescent="0.2">
      <c r="A31" s="1099"/>
      <c r="B31" s="140" t="s">
        <v>603</v>
      </c>
      <c r="C31" s="108" t="s">
        <v>604</v>
      </c>
      <c r="D31" s="417"/>
      <c r="E31" s="250"/>
      <c r="F31" s="251"/>
      <c r="H31" s="43" t="s">
        <v>267</v>
      </c>
      <c r="I31" s="302" t="str">
        <f t="shared" si="24"/>
        <v/>
      </c>
      <c r="J31" s="302" t="str">
        <f t="shared" si="25"/>
        <v/>
      </c>
      <c r="K31" s="302" t="str">
        <f t="shared" si="25"/>
        <v/>
      </c>
      <c r="L31" s="302" t="str">
        <f t="shared" si="26"/>
        <v/>
      </c>
      <c r="M31" s="302" t="str">
        <f t="shared" si="27"/>
        <v/>
      </c>
      <c r="N31" s="302" t="str">
        <f t="shared" si="28"/>
        <v/>
      </c>
      <c r="O31" s="302" t="str">
        <f t="shared" si="29"/>
        <v/>
      </c>
      <c r="P31" s="302" t="str">
        <f t="shared" si="30"/>
        <v/>
      </c>
      <c r="Q31" s="302" t="str">
        <f t="shared" si="30"/>
        <v/>
      </c>
      <c r="R31" s="302" t="str">
        <f t="shared" si="31"/>
        <v/>
      </c>
      <c r="S31" s="302" t="str">
        <f t="shared" si="32"/>
        <v/>
      </c>
      <c r="T31" s="302" t="str">
        <f t="shared" si="32"/>
        <v/>
      </c>
      <c r="U31" s="303">
        <f t="shared" si="33"/>
        <v>0</v>
      </c>
      <c r="V31" s="214">
        <f t="shared" si="34"/>
        <v>0</v>
      </c>
      <c r="W31" s="322">
        <f t="shared" si="35"/>
        <v>0</v>
      </c>
    </row>
    <row r="32" spans="1:23" x14ac:dyDescent="0.2">
      <c r="A32" s="1099"/>
      <c r="B32" s="140" t="s">
        <v>559</v>
      </c>
      <c r="C32" s="108" t="s">
        <v>439</v>
      </c>
      <c r="D32" s="95"/>
      <c r="E32" s="250"/>
      <c r="F32" s="251"/>
      <c r="H32" s="43" t="s">
        <v>267</v>
      </c>
      <c r="I32" s="302" t="str">
        <f t="shared" si="24"/>
        <v/>
      </c>
      <c r="J32" s="302" t="str">
        <f t="shared" si="25"/>
        <v/>
      </c>
      <c r="K32" s="302" t="str">
        <f t="shared" si="25"/>
        <v/>
      </c>
      <c r="L32" s="302" t="str">
        <f t="shared" si="26"/>
        <v/>
      </c>
      <c r="M32" s="302" t="str">
        <f t="shared" si="27"/>
        <v/>
      </c>
      <c r="N32" s="302" t="str">
        <f t="shared" si="28"/>
        <v/>
      </c>
      <c r="O32" s="302" t="str">
        <f t="shared" si="29"/>
        <v/>
      </c>
      <c r="P32" s="302" t="str">
        <f t="shared" si="30"/>
        <v/>
      </c>
      <c r="Q32" s="302" t="str">
        <f t="shared" si="30"/>
        <v/>
      </c>
      <c r="R32" s="302" t="str">
        <f t="shared" si="31"/>
        <v/>
      </c>
      <c r="S32" s="302" t="str">
        <f t="shared" si="32"/>
        <v/>
      </c>
      <c r="T32" s="302" t="str">
        <f t="shared" si="32"/>
        <v/>
      </c>
      <c r="U32" s="303">
        <f t="shared" si="33"/>
        <v>0</v>
      </c>
      <c r="V32" s="214">
        <f t="shared" si="34"/>
        <v>0</v>
      </c>
      <c r="W32" s="322">
        <f t="shared" si="35"/>
        <v>0</v>
      </c>
    </row>
    <row r="33" spans="1:23" x14ac:dyDescent="0.2">
      <c r="A33" s="1099"/>
      <c r="B33" s="140" t="s">
        <v>561</v>
      </c>
      <c r="C33" s="108" t="s">
        <v>443</v>
      </c>
      <c r="D33" s="95"/>
      <c r="E33" s="250"/>
      <c r="F33" s="251"/>
      <c r="H33" s="43" t="s">
        <v>267</v>
      </c>
      <c r="I33" s="302" t="str">
        <f t="shared" si="24"/>
        <v/>
      </c>
      <c r="J33" s="302" t="str">
        <f t="shared" si="25"/>
        <v/>
      </c>
      <c r="K33" s="302" t="str">
        <f t="shared" si="25"/>
        <v/>
      </c>
      <c r="L33" s="302" t="str">
        <f t="shared" si="26"/>
        <v/>
      </c>
      <c r="M33" s="302" t="str">
        <f t="shared" si="27"/>
        <v/>
      </c>
      <c r="N33" s="302" t="str">
        <f t="shared" si="28"/>
        <v/>
      </c>
      <c r="O33" s="302" t="str">
        <f t="shared" si="29"/>
        <v/>
      </c>
      <c r="P33" s="302" t="str">
        <f t="shared" si="30"/>
        <v/>
      </c>
      <c r="Q33" s="302" t="str">
        <f t="shared" si="30"/>
        <v/>
      </c>
      <c r="R33" s="302" t="str">
        <f t="shared" si="31"/>
        <v/>
      </c>
      <c r="S33" s="302" t="str">
        <f t="shared" si="32"/>
        <v/>
      </c>
      <c r="T33" s="302" t="str">
        <f t="shared" si="32"/>
        <v/>
      </c>
      <c r="U33" s="303">
        <f t="shared" si="33"/>
        <v>0</v>
      </c>
      <c r="V33" s="214">
        <f t="shared" si="34"/>
        <v>0</v>
      </c>
      <c r="W33" s="322">
        <f t="shared" si="35"/>
        <v>0</v>
      </c>
    </row>
    <row r="34" spans="1:23" ht="13.5" thickBot="1" x14ac:dyDescent="0.25">
      <c r="A34" s="1100"/>
      <c r="B34" s="142">
        <v>8387</v>
      </c>
      <c r="C34" s="144" t="s">
        <v>593</v>
      </c>
      <c r="D34" s="310"/>
      <c r="E34" s="309"/>
      <c r="F34" s="257">
        <f>SUM(E26:E34)</f>
        <v>32930</v>
      </c>
      <c r="H34" s="43" t="s">
        <v>267</v>
      </c>
      <c r="I34" s="302" t="str">
        <f t="shared" si="24"/>
        <v/>
      </c>
      <c r="J34" s="302" t="str">
        <f t="shared" si="25"/>
        <v/>
      </c>
      <c r="K34" s="302" t="str">
        <f t="shared" si="25"/>
        <v/>
      </c>
      <c r="L34" s="302" t="str">
        <f t="shared" si="26"/>
        <v/>
      </c>
      <c r="M34" s="302" t="str">
        <f t="shared" si="27"/>
        <v/>
      </c>
      <c r="N34" s="302" t="str">
        <f t="shared" si="28"/>
        <v/>
      </c>
      <c r="O34" s="302" t="str">
        <f t="shared" si="29"/>
        <v/>
      </c>
      <c r="P34" s="302" t="str">
        <f t="shared" si="30"/>
        <v/>
      </c>
      <c r="Q34" s="302" t="str">
        <f t="shared" si="30"/>
        <v/>
      </c>
      <c r="R34" s="302" t="str">
        <f t="shared" si="31"/>
        <v/>
      </c>
      <c r="S34" s="302" t="str">
        <f t="shared" si="32"/>
        <v/>
      </c>
      <c r="T34" s="302" t="str">
        <f t="shared" si="32"/>
        <v/>
      </c>
      <c r="U34" s="303">
        <f t="shared" si="33"/>
        <v>0</v>
      </c>
      <c r="V34" s="214">
        <f t="shared" si="34"/>
        <v>0</v>
      </c>
      <c r="W34" s="322">
        <f t="shared" si="35"/>
        <v>0</v>
      </c>
    </row>
    <row r="35" spans="1:23" ht="13.5" thickBot="1" x14ac:dyDescent="0.25">
      <c r="A35" s="41"/>
      <c r="B35" s="117"/>
      <c r="C35" s="101"/>
      <c r="D35" s="102"/>
      <c r="E35" s="259"/>
      <c r="F35" s="260"/>
      <c r="I35" s="306"/>
      <c r="J35" s="306"/>
      <c r="K35" s="306"/>
      <c r="L35" s="306"/>
      <c r="M35" s="306"/>
      <c r="N35" s="306"/>
      <c r="O35" s="306"/>
      <c r="P35" s="306"/>
      <c r="Q35" s="306"/>
      <c r="R35" s="306"/>
      <c r="S35" s="306"/>
      <c r="T35" s="306"/>
      <c r="U35" s="305"/>
      <c r="W35" s="322">
        <f t="shared" ref="W35:W74" si="36">ROUND(SUM(I35:T35)-U35,0)</f>
        <v>0</v>
      </c>
    </row>
    <row r="36" spans="1:23" x14ac:dyDescent="0.2">
      <c r="A36" s="1118" t="s">
        <v>630</v>
      </c>
      <c r="B36" s="145" t="s">
        <v>633</v>
      </c>
      <c r="C36" s="146" t="s">
        <v>631</v>
      </c>
      <c r="D36" s="103"/>
      <c r="E36" s="261"/>
      <c r="F36" s="262"/>
      <c r="G36" s="11"/>
      <c r="H36" s="43" t="s">
        <v>267</v>
      </c>
      <c r="I36" s="302" t="str">
        <f>IF($H36="Monthly",$E36/12,IF($H36="Quarterly (From April)",$E36/4,IF($H36="Termly",$E36/3,IF($H36="Monthly (excl. August)",$E36/11,""))))</f>
        <v/>
      </c>
      <c r="J36" s="302" t="str">
        <f t="shared" ref="J36:K40" si="37">IF($H36="Monthly",$E36/12,IF($H36="Quarterly (From April)",0,IF($H36="Termly",0,IF($H36="Monthly (excl. August)",$E36/11,""))))</f>
        <v/>
      </c>
      <c r="K36" s="302" t="str">
        <f t="shared" si="37"/>
        <v/>
      </c>
      <c r="L36" s="302" t="str">
        <f>IF($H36="Monthly",$E36/12,IF($H36="Quarterly (From April)",$E36/4,IF($H36="Termly",0,IF($H36="Monthly (excl. August)",$E36/11,""))))</f>
        <v/>
      </c>
      <c r="M36" s="302" t="str">
        <f>IF($H36="Monthly",$E36/12,IF($H36="Quarterly (From April)",0,IF($H36="Termly",0,IF($H36="Monthly (excl. August)",0,""))))</f>
        <v/>
      </c>
      <c r="N36" s="302" t="str">
        <f>IF($H36="Monthly",$E36/12,IF($H36="Quarterly (From April)",0,IF($H36="Termly",$E36/3,IF($H36="Monthly (excl. August)",$E36/11,""))))</f>
        <v/>
      </c>
      <c r="O36" s="302" t="str">
        <f>IF($H36="Monthly",$E36/12,IF($H36="Quarterly (From April)",$E36/4,IF($H36="Termly",0,IF($H36="Monthly (excl. August)",$E36/11,""))))</f>
        <v/>
      </c>
      <c r="P36" s="302" t="str">
        <f t="shared" ref="P36:Q40" si="38">IF($H36="Monthly",$E36/12,IF($H36="Quarterly (From April)",0,IF($H36="Termly",0,IF($H36="Monthly (excl. August)",$E36/11,""))))</f>
        <v/>
      </c>
      <c r="Q36" s="302" t="str">
        <f t="shared" si="38"/>
        <v/>
      </c>
      <c r="R36" s="302" t="str">
        <f>IF($H36="Monthly",$E36/12,IF($H36="Quarterly (From April)",$E36/4,IF($H36="Termly",$E36/3,IF($H36="Monthly (excl. August)",$E36/11,""))))</f>
        <v/>
      </c>
      <c r="S36" s="302" t="str">
        <f t="shared" ref="S36:T40" si="39">IF($H36="Monthly",$E36/12,IF($H36="Quarterly (From April)",0,IF($H36="Termly",0,IF($H36="Monthly (excl. August)",$E36/11,""))))</f>
        <v/>
      </c>
      <c r="T36" s="302" t="str">
        <f t="shared" si="39"/>
        <v/>
      </c>
      <c r="U36" s="303">
        <f t="shared" ref="U36:U99" si="40">E36</f>
        <v>0</v>
      </c>
      <c r="V36" s="214">
        <f>IF(ROUND(SUM(I36:T36),0)&gt;U36,1,IF(ROUND(SUM(I36:T36),0)&lt;U36,1,0))</f>
        <v>0</v>
      </c>
      <c r="W36" s="322">
        <f t="shared" si="36"/>
        <v>0</v>
      </c>
    </row>
    <row r="37" spans="1:23" x14ac:dyDescent="0.2">
      <c r="A37" s="1099"/>
      <c r="B37" s="140" t="s">
        <v>632</v>
      </c>
      <c r="C37" s="108" t="s">
        <v>635</v>
      </c>
      <c r="D37" s="417"/>
      <c r="E37" s="250"/>
      <c r="F37" s="263"/>
      <c r="G37" s="11"/>
      <c r="H37" s="43" t="s">
        <v>267</v>
      </c>
      <c r="I37" s="302" t="str">
        <f>IF($H37="Monthly",$E37/12,IF($H37="Quarterly (From April)",$E37/4,IF($H37="Termly",$E37/3,IF($H37="Monthly (excl. August)",$E37/11,""))))</f>
        <v/>
      </c>
      <c r="J37" s="302" t="str">
        <f t="shared" si="37"/>
        <v/>
      </c>
      <c r="K37" s="302" t="str">
        <f t="shared" si="37"/>
        <v/>
      </c>
      <c r="L37" s="302" t="str">
        <f>IF($H37="Monthly",$E37/12,IF($H37="Quarterly (From April)",$E37/4,IF($H37="Termly",0,IF($H37="Monthly (excl. August)",$E37/11,""))))</f>
        <v/>
      </c>
      <c r="M37" s="302" t="str">
        <f>IF($H37="Monthly",$E37/12,IF($H37="Quarterly (From April)",0,IF($H37="Termly",0,IF($H37="Monthly (excl. August)",0,""))))</f>
        <v/>
      </c>
      <c r="N37" s="302" t="str">
        <f>IF($H37="Monthly",$E37/12,IF($H37="Quarterly (From April)",0,IF($H37="Termly",$E37/3,IF($H37="Monthly (excl. August)",$E37/11,""))))</f>
        <v/>
      </c>
      <c r="O37" s="302" t="str">
        <f>IF($H37="Monthly",$E37/12,IF($H37="Quarterly (From April)",$E37/4,IF($H37="Termly",0,IF($H37="Monthly (excl. August)",$E37/11,""))))</f>
        <v/>
      </c>
      <c r="P37" s="302" t="str">
        <f t="shared" si="38"/>
        <v/>
      </c>
      <c r="Q37" s="302" t="str">
        <f t="shared" si="38"/>
        <v/>
      </c>
      <c r="R37" s="302" t="str">
        <f>IF($H37="Monthly",$E37/12,IF($H37="Quarterly (From April)",$E37/4,IF($H37="Termly",$E37/3,IF($H37="Monthly (excl. August)",$E37/11,""))))</f>
        <v/>
      </c>
      <c r="S37" s="302" t="str">
        <f t="shared" si="39"/>
        <v/>
      </c>
      <c r="T37" s="302" t="str">
        <f t="shared" si="39"/>
        <v/>
      </c>
      <c r="U37" s="303">
        <f t="shared" si="40"/>
        <v>0</v>
      </c>
      <c r="V37" s="214">
        <f>IF(ROUND(SUM(I37:T37),0)&gt;U37,1,IF(ROUND(SUM(I37:T37),0)&lt;U37,1,0))</f>
        <v>0</v>
      </c>
      <c r="W37" s="322">
        <f t="shared" si="36"/>
        <v>0</v>
      </c>
    </row>
    <row r="38" spans="1:23" x14ac:dyDescent="0.2">
      <c r="A38" s="1099"/>
      <c r="B38" s="147" t="s">
        <v>632</v>
      </c>
      <c r="C38" s="108" t="s">
        <v>634</v>
      </c>
      <c r="D38" s="104"/>
      <c r="E38" s="264"/>
      <c r="F38" s="258"/>
      <c r="G38" s="11"/>
      <c r="H38" s="43" t="s">
        <v>267</v>
      </c>
      <c r="I38" s="302" t="str">
        <f>IF($H38="Monthly",$E38/12,IF($H38="Quarterly (From April)",$E38/4,IF($H38="Termly",$E38/3,IF($H38="Monthly (excl. August)",$E38/11,""))))</f>
        <v/>
      </c>
      <c r="J38" s="302" t="str">
        <f t="shared" si="37"/>
        <v/>
      </c>
      <c r="K38" s="302" t="str">
        <f t="shared" si="37"/>
        <v/>
      </c>
      <c r="L38" s="302" t="str">
        <f>IF($H38="Monthly",$E38/12,IF($H38="Quarterly (From April)",$E38/4,IF($H38="Termly",0,IF($H38="Monthly (excl. August)",$E38/11,""))))</f>
        <v/>
      </c>
      <c r="M38" s="302" t="str">
        <f>IF($H38="Monthly",$E38/12,IF($H38="Quarterly (From April)",0,IF($H38="Termly",0,IF($H38="Monthly (excl. August)",0,""))))</f>
        <v/>
      </c>
      <c r="N38" s="302" t="str">
        <f>IF($H38="Monthly",$E38/12,IF($H38="Quarterly (From April)",0,IF($H38="Termly",$E38/3,IF($H38="Monthly (excl. August)",$E38/11,""))))</f>
        <v/>
      </c>
      <c r="O38" s="302" t="str">
        <f>IF($H38="Monthly",$E38/12,IF($H38="Quarterly (From April)",$E38/4,IF($H38="Termly",0,IF($H38="Monthly (excl. August)",$E38/11,""))))</f>
        <v/>
      </c>
      <c r="P38" s="302" t="str">
        <f t="shared" si="38"/>
        <v/>
      </c>
      <c r="Q38" s="302" t="str">
        <f t="shared" si="38"/>
        <v/>
      </c>
      <c r="R38" s="302" t="str">
        <f>IF($H38="Monthly",$E38/12,IF($H38="Quarterly (From April)",$E38/4,IF($H38="Termly",$E38/3,IF($H38="Monthly (excl. August)",$E38/11,""))))</f>
        <v/>
      </c>
      <c r="S38" s="302" t="str">
        <f t="shared" si="39"/>
        <v/>
      </c>
      <c r="T38" s="302" t="str">
        <f t="shared" si="39"/>
        <v/>
      </c>
      <c r="U38" s="303">
        <f t="shared" si="40"/>
        <v>0</v>
      </c>
      <c r="V38" s="214">
        <f>IF(ROUND(SUM(I38:T38),0)&gt;U38,1,IF(ROUND(SUM(I38:T38),0)&lt;U38,1,0))</f>
        <v>0</v>
      </c>
      <c r="W38" s="322">
        <f t="shared" si="36"/>
        <v>0</v>
      </c>
    </row>
    <row r="39" spans="1:23" x14ac:dyDescent="0.2">
      <c r="A39" s="1099"/>
      <c r="B39" s="140" t="s">
        <v>637</v>
      </c>
      <c r="C39" s="108" t="s">
        <v>636</v>
      </c>
      <c r="D39" s="95"/>
      <c r="E39" s="250"/>
      <c r="F39" s="263"/>
      <c r="G39" s="11"/>
      <c r="H39" s="43" t="s">
        <v>267</v>
      </c>
      <c r="I39" s="302" t="str">
        <f>IF($H39="Monthly",$E39/12,IF($H39="Quarterly (From April)",$E39/4,IF($H39="Termly",$E39/3,IF($H39="Monthly (excl. August)",$E39/11,""))))</f>
        <v/>
      </c>
      <c r="J39" s="302" t="str">
        <f t="shared" si="37"/>
        <v/>
      </c>
      <c r="K39" s="302" t="str">
        <f t="shared" si="37"/>
        <v/>
      </c>
      <c r="L39" s="302" t="str">
        <f>IF($H39="Monthly",$E39/12,IF($H39="Quarterly (From April)",$E39/4,IF($H39="Termly",0,IF($H39="Monthly (excl. August)",$E39/11,""))))</f>
        <v/>
      </c>
      <c r="M39" s="302" t="str">
        <f>IF($H39="Monthly",$E39/12,IF($H39="Quarterly (From April)",0,IF($H39="Termly",0,IF($H39="Monthly (excl. August)",0,""))))</f>
        <v/>
      </c>
      <c r="N39" s="302" t="str">
        <f>IF($H39="Monthly",$E39/12,IF($H39="Quarterly (From April)",0,IF($H39="Termly",$E39/3,IF($H39="Monthly (excl. August)",$E39/11,""))))</f>
        <v/>
      </c>
      <c r="O39" s="302" t="str">
        <f>IF($H39="Monthly",$E39/12,IF($H39="Quarterly (From April)",$E39/4,IF($H39="Termly",0,IF($H39="Monthly (excl. August)",$E39/11,""))))</f>
        <v/>
      </c>
      <c r="P39" s="302" t="str">
        <f t="shared" si="38"/>
        <v/>
      </c>
      <c r="Q39" s="302" t="str">
        <f t="shared" si="38"/>
        <v/>
      </c>
      <c r="R39" s="302" t="str">
        <f>IF($H39="Monthly",$E39/12,IF($H39="Quarterly (From April)",$E39/4,IF($H39="Termly",$E39/3,IF($H39="Monthly (excl. August)",$E39/11,""))))</f>
        <v/>
      </c>
      <c r="S39" s="302" t="str">
        <f t="shared" si="39"/>
        <v/>
      </c>
      <c r="T39" s="302" t="str">
        <f t="shared" si="39"/>
        <v/>
      </c>
      <c r="U39" s="303">
        <f t="shared" si="40"/>
        <v>0</v>
      </c>
      <c r="V39" s="214">
        <f>IF(ROUND(SUM(I39:T39),0)&gt;U39,1,IF(ROUND(SUM(I39:T39),0)&lt;U39,1,0))</f>
        <v>0</v>
      </c>
      <c r="W39" s="322">
        <f t="shared" si="36"/>
        <v>0</v>
      </c>
    </row>
    <row r="40" spans="1:23" ht="13.5" thickBot="1" x14ac:dyDescent="0.25">
      <c r="A40" s="1100"/>
      <c r="B40" s="149">
        <v>8387</v>
      </c>
      <c r="C40" s="150" t="s">
        <v>593</v>
      </c>
      <c r="D40" s="311"/>
      <c r="E40" s="312"/>
      <c r="F40" s="266">
        <f>SUM(E36:E40)</f>
        <v>0</v>
      </c>
      <c r="G40" s="11"/>
      <c r="H40" s="43" t="s">
        <v>267</v>
      </c>
      <c r="I40" s="302" t="str">
        <f>IF($H40="Monthly",$E40/12,IF($H40="Quarterly (From April)",$E40/4,IF($H40="Termly",$E40/3,IF($H40="Monthly (excl. August)",$E40/11,""))))</f>
        <v/>
      </c>
      <c r="J40" s="302" t="str">
        <f t="shared" si="37"/>
        <v/>
      </c>
      <c r="K40" s="302" t="str">
        <f t="shared" si="37"/>
        <v/>
      </c>
      <c r="L40" s="302" t="str">
        <f>IF($H40="Monthly",$E40/12,IF($H40="Quarterly (From April)",$E40/4,IF($H40="Termly",0,IF($H40="Monthly (excl. August)",$E40/11,""))))</f>
        <v/>
      </c>
      <c r="M40" s="302" t="str">
        <f>IF($H40="Monthly",$E40/12,IF($H40="Quarterly (From April)",0,IF($H40="Termly",0,IF($H40="Monthly (excl. August)",0,""))))</f>
        <v/>
      </c>
      <c r="N40" s="302" t="str">
        <f>IF($H40="Monthly",$E40/12,IF($H40="Quarterly (From April)",0,IF($H40="Termly",$E40/3,IF($H40="Monthly (excl. August)",$E40/11,""))))</f>
        <v/>
      </c>
      <c r="O40" s="302" t="str">
        <f>IF($H40="Monthly",$E40/12,IF($H40="Quarterly (From April)",$E40/4,IF($H40="Termly",0,IF($H40="Monthly (excl. August)",$E40/11,""))))</f>
        <v/>
      </c>
      <c r="P40" s="302" t="str">
        <f t="shared" si="38"/>
        <v/>
      </c>
      <c r="Q40" s="302" t="str">
        <f t="shared" si="38"/>
        <v/>
      </c>
      <c r="R40" s="302" t="str">
        <f>IF($H40="Monthly",$E40/12,IF($H40="Quarterly (From April)",$E40/4,IF($H40="Termly",$E40/3,IF($H40="Monthly (excl. August)",$E40/11,""))))</f>
        <v/>
      </c>
      <c r="S40" s="302" t="str">
        <f t="shared" si="39"/>
        <v/>
      </c>
      <c r="T40" s="302" t="str">
        <f t="shared" si="39"/>
        <v/>
      </c>
      <c r="U40" s="303">
        <f t="shared" si="40"/>
        <v>0</v>
      </c>
      <c r="V40" s="214">
        <f>IF(ROUND(SUM(I40:T40),0)&gt;U40,1,IF(ROUND(SUM(I40:T40),0)&lt;U40,1,0))</f>
        <v>0</v>
      </c>
      <c r="W40" s="322">
        <f t="shared" si="36"/>
        <v>0</v>
      </c>
    </row>
    <row r="41" spans="1:23" ht="13.5" thickBot="1" x14ac:dyDescent="0.25">
      <c r="A41" s="8"/>
      <c r="B41" s="118"/>
      <c r="C41" s="106"/>
      <c r="D41" s="107"/>
      <c r="E41" s="267"/>
      <c r="F41" s="268"/>
      <c r="G41" s="11"/>
      <c r="I41" s="306"/>
      <c r="J41" s="306"/>
      <c r="K41" s="306"/>
      <c r="L41" s="306"/>
      <c r="M41" s="306"/>
      <c r="N41" s="306"/>
      <c r="O41" s="306"/>
      <c r="P41" s="306"/>
      <c r="Q41" s="306"/>
      <c r="R41" s="306"/>
      <c r="S41" s="306"/>
      <c r="T41" s="306"/>
      <c r="U41" s="305"/>
      <c r="W41" s="322">
        <f t="shared" si="36"/>
        <v>0</v>
      </c>
    </row>
    <row r="42" spans="1:23" x14ac:dyDescent="0.2">
      <c r="A42" s="1098" t="s">
        <v>444</v>
      </c>
      <c r="B42" s="136" t="s">
        <v>562</v>
      </c>
      <c r="C42" s="113" t="s">
        <v>445</v>
      </c>
      <c r="D42" s="1005" t="s">
        <v>1028</v>
      </c>
      <c r="E42" s="246">
        <v>56391</v>
      </c>
      <c r="F42" s="247"/>
      <c r="H42" s="43" t="s">
        <v>290</v>
      </c>
      <c r="I42" s="302">
        <f t="shared" ref="I42:I75" si="41">IF($H42="Monthly",$E42/12,IF($H42="Quarterly (From April)",$E42/4,IF($H42="Termly",$E42/3,IF($H42="Monthly (excl. August)",$E42/11,""))))</f>
        <v>4699.25</v>
      </c>
      <c r="J42" s="302">
        <f t="shared" ref="J42:K75" si="42">IF($H42="Monthly",$E42/12,IF($H42="Quarterly (From April)",0,IF($H42="Termly",0,IF($H42="Monthly (excl. August)",$E42/11,""))))</f>
        <v>4699.25</v>
      </c>
      <c r="K42" s="302">
        <f t="shared" si="42"/>
        <v>4699.25</v>
      </c>
      <c r="L42" s="302">
        <f t="shared" ref="L42:L75" si="43">IF($H42="Monthly",$E42/12,IF($H42="Quarterly (From April)",$E42/4,IF($H42="Termly",0,IF($H42="Monthly (excl. August)",$E42/11,""))))</f>
        <v>4699.25</v>
      </c>
      <c r="M42" s="302">
        <f t="shared" ref="M42:M75" si="44">IF($H42="Monthly",$E42/12,IF($H42="Quarterly (From April)",0,IF($H42="Termly",0,IF($H42="Monthly (excl. August)",0,""))))</f>
        <v>4699.25</v>
      </c>
      <c r="N42" s="302">
        <f t="shared" ref="N42:N75" si="45">IF($H42="Monthly",$E42/12,IF($H42="Quarterly (From April)",0,IF($H42="Termly",$E42/3,IF($H42="Monthly (excl. August)",$E42/11,""))))</f>
        <v>4699.25</v>
      </c>
      <c r="O42" s="302">
        <f t="shared" ref="O42:O75" si="46">IF($H42="Monthly",$E42/12,IF($H42="Quarterly (From April)",$E42/4,IF($H42="Termly",0,IF($H42="Monthly (excl. August)",$E42/11,""))))</f>
        <v>4699.25</v>
      </c>
      <c r="P42" s="302">
        <f t="shared" ref="P42:Q75" si="47">IF($H42="Monthly",$E42/12,IF($H42="Quarterly (From April)",0,IF($H42="Termly",0,IF($H42="Monthly (excl. August)",$E42/11,""))))</f>
        <v>4699.25</v>
      </c>
      <c r="Q42" s="302">
        <f t="shared" si="47"/>
        <v>4699.25</v>
      </c>
      <c r="R42" s="302">
        <f t="shared" ref="R42:R75" si="48">IF($H42="Monthly",$E42/12,IF($H42="Quarterly (From April)",$E42/4,IF($H42="Termly",$E42/3,IF($H42="Monthly (excl. August)",$E42/11,""))))</f>
        <v>4699.25</v>
      </c>
      <c r="S42" s="302">
        <f t="shared" ref="S42:T75" si="49">IF($H42="Monthly",$E42/12,IF($H42="Quarterly (From April)",0,IF($H42="Termly",0,IF($H42="Monthly (excl. August)",$E42/11,""))))</f>
        <v>4699.25</v>
      </c>
      <c r="T42" s="302">
        <f t="shared" si="49"/>
        <v>4699.25</v>
      </c>
      <c r="U42" s="303">
        <f t="shared" si="40"/>
        <v>56391</v>
      </c>
      <c r="V42" s="214">
        <f t="shared" ref="V42:V75" si="50">IF(ROUND(SUM(I42:T42),0)&gt;U42,1,IF(ROUND(SUM(I42:T42),0)&lt;U42,1,0))</f>
        <v>0</v>
      </c>
      <c r="W42" s="322">
        <f t="shared" si="36"/>
        <v>0</v>
      </c>
    </row>
    <row r="43" spans="1:23" ht="25.5" x14ac:dyDescent="0.2">
      <c r="A43" s="1099"/>
      <c r="B43" s="140" t="s">
        <v>563</v>
      </c>
      <c r="C43" s="108" t="s">
        <v>446</v>
      </c>
      <c r="D43" s="417" t="s">
        <v>1081</v>
      </c>
      <c r="E43" s="250">
        <v>1895</v>
      </c>
      <c r="F43" s="251"/>
      <c r="H43" s="43" t="s">
        <v>294</v>
      </c>
      <c r="I43" s="302">
        <f t="shared" si="41"/>
        <v>172.27272727272728</v>
      </c>
      <c r="J43" s="302">
        <f t="shared" si="42"/>
        <v>172.27272727272728</v>
      </c>
      <c r="K43" s="302">
        <f t="shared" si="42"/>
        <v>172.27272727272728</v>
      </c>
      <c r="L43" s="302">
        <f t="shared" si="43"/>
        <v>172.27272727272728</v>
      </c>
      <c r="M43" s="302">
        <f t="shared" si="44"/>
        <v>0</v>
      </c>
      <c r="N43" s="302">
        <f t="shared" si="45"/>
        <v>172.27272727272728</v>
      </c>
      <c r="O43" s="302">
        <f t="shared" si="46"/>
        <v>172.27272727272728</v>
      </c>
      <c r="P43" s="302">
        <f t="shared" si="47"/>
        <v>172.27272727272728</v>
      </c>
      <c r="Q43" s="302">
        <f t="shared" si="47"/>
        <v>172.27272727272728</v>
      </c>
      <c r="R43" s="302">
        <f t="shared" si="48"/>
        <v>172.27272727272728</v>
      </c>
      <c r="S43" s="302">
        <f t="shared" si="49"/>
        <v>172.27272727272728</v>
      </c>
      <c r="T43" s="302">
        <f t="shared" si="49"/>
        <v>172.27272727272728</v>
      </c>
      <c r="U43" s="303">
        <f t="shared" si="40"/>
        <v>1895</v>
      </c>
      <c r="V43" s="214">
        <f t="shared" si="50"/>
        <v>0</v>
      </c>
      <c r="W43" s="322">
        <f t="shared" si="36"/>
        <v>0</v>
      </c>
    </row>
    <row r="44" spans="1:23" x14ac:dyDescent="0.2">
      <c r="A44" s="1099"/>
      <c r="B44" s="140" t="s">
        <v>564</v>
      </c>
      <c r="C44" s="108" t="s">
        <v>447</v>
      </c>
      <c r="D44" s="95"/>
      <c r="E44" s="250"/>
      <c r="F44" s="251"/>
      <c r="H44" s="43" t="s">
        <v>267</v>
      </c>
      <c r="I44" s="302" t="str">
        <f t="shared" si="41"/>
        <v/>
      </c>
      <c r="J44" s="302" t="str">
        <f t="shared" si="42"/>
        <v/>
      </c>
      <c r="K44" s="302" t="str">
        <f t="shared" si="42"/>
        <v/>
      </c>
      <c r="L44" s="302" t="str">
        <f t="shared" si="43"/>
        <v/>
      </c>
      <c r="M44" s="302" t="str">
        <f t="shared" si="44"/>
        <v/>
      </c>
      <c r="N44" s="302" t="str">
        <f t="shared" si="45"/>
        <v/>
      </c>
      <c r="O44" s="302" t="str">
        <f t="shared" si="46"/>
        <v/>
      </c>
      <c r="P44" s="302" t="str">
        <f t="shared" si="47"/>
        <v/>
      </c>
      <c r="Q44" s="302" t="str">
        <f t="shared" si="47"/>
        <v/>
      </c>
      <c r="R44" s="302" t="str">
        <f t="shared" si="48"/>
        <v/>
      </c>
      <c r="S44" s="302" t="str">
        <f t="shared" si="49"/>
        <v/>
      </c>
      <c r="T44" s="302" t="str">
        <f t="shared" si="49"/>
        <v/>
      </c>
      <c r="U44" s="303">
        <f t="shared" si="40"/>
        <v>0</v>
      </c>
      <c r="V44" s="214">
        <f t="shared" si="50"/>
        <v>0</v>
      </c>
      <c r="W44" s="322">
        <f t="shared" si="36"/>
        <v>0</v>
      </c>
    </row>
    <row r="45" spans="1:23" x14ac:dyDescent="0.2">
      <c r="A45" s="1099"/>
      <c r="B45" s="140" t="s">
        <v>565</v>
      </c>
      <c r="C45" s="151" t="s">
        <v>448</v>
      </c>
      <c r="D45" s="95"/>
      <c r="E45" s="250"/>
      <c r="F45" s="251"/>
      <c r="H45" s="43" t="s">
        <v>267</v>
      </c>
      <c r="I45" s="302" t="str">
        <f t="shared" si="41"/>
        <v/>
      </c>
      <c r="J45" s="302" t="str">
        <f t="shared" si="42"/>
        <v/>
      </c>
      <c r="K45" s="302" t="str">
        <f t="shared" si="42"/>
        <v/>
      </c>
      <c r="L45" s="302" t="str">
        <f t="shared" si="43"/>
        <v/>
      </c>
      <c r="M45" s="302" t="str">
        <f t="shared" si="44"/>
        <v/>
      </c>
      <c r="N45" s="302" t="str">
        <f t="shared" si="45"/>
        <v/>
      </c>
      <c r="O45" s="302" t="str">
        <f t="shared" si="46"/>
        <v/>
      </c>
      <c r="P45" s="302" t="str">
        <f t="shared" si="47"/>
        <v/>
      </c>
      <c r="Q45" s="302" t="str">
        <f t="shared" si="47"/>
        <v/>
      </c>
      <c r="R45" s="302" t="str">
        <f t="shared" si="48"/>
        <v/>
      </c>
      <c r="S45" s="302" t="str">
        <f t="shared" si="49"/>
        <v/>
      </c>
      <c r="T45" s="302" t="str">
        <f t="shared" si="49"/>
        <v/>
      </c>
      <c r="U45" s="303">
        <f t="shared" si="40"/>
        <v>0</v>
      </c>
      <c r="V45" s="214">
        <f t="shared" si="50"/>
        <v>0</v>
      </c>
      <c r="W45" s="322">
        <f t="shared" si="36"/>
        <v>0</v>
      </c>
    </row>
    <row r="46" spans="1:23" x14ac:dyDescent="0.2">
      <c r="A46" s="1099"/>
      <c r="B46" s="140" t="s">
        <v>609</v>
      </c>
      <c r="C46" s="151" t="s">
        <v>605</v>
      </c>
      <c r="D46" s="95"/>
      <c r="E46" s="250"/>
      <c r="F46" s="251"/>
      <c r="H46" s="43" t="s">
        <v>267</v>
      </c>
      <c r="I46" s="302" t="str">
        <f t="shared" si="41"/>
        <v/>
      </c>
      <c r="J46" s="302" t="str">
        <f t="shared" si="42"/>
        <v/>
      </c>
      <c r="K46" s="302" t="str">
        <f t="shared" si="42"/>
        <v/>
      </c>
      <c r="L46" s="302" t="str">
        <f t="shared" si="43"/>
        <v/>
      </c>
      <c r="M46" s="302" t="str">
        <f t="shared" si="44"/>
        <v/>
      </c>
      <c r="N46" s="302" t="str">
        <f t="shared" si="45"/>
        <v/>
      </c>
      <c r="O46" s="302" t="str">
        <f t="shared" si="46"/>
        <v/>
      </c>
      <c r="P46" s="302" t="str">
        <f t="shared" si="47"/>
        <v/>
      </c>
      <c r="Q46" s="302" t="str">
        <f t="shared" si="47"/>
        <v/>
      </c>
      <c r="R46" s="302" t="str">
        <f t="shared" si="48"/>
        <v/>
      </c>
      <c r="S46" s="302" t="str">
        <f t="shared" si="49"/>
        <v/>
      </c>
      <c r="T46" s="302" t="str">
        <f t="shared" si="49"/>
        <v/>
      </c>
      <c r="U46" s="303">
        <f t="shared" si="40"/>
        <v>0</v>
      </c>
      <c r="V46" s="214">
        <f t="shared" si="50"/>
        <v>0</v>
      </c>
      <c r="W46" s="322">
        <f t="shared" si="36"/>
        <v>0</v>
      </c>
    </row>
    <row r="47" spans="1:23" x14ac:dyDescent="0.2">
      <c r="A47" s="1099"/>
      <c r="B47" s="140" t="s">
        <v>611</v>
      </c>
      <c r="C47" s="151" t="s">
        <v>607</v>
      </c>
      <c r="D47" s="419"/>
      <c r="E47" s="250"/>
      <c r="F47" s="251"/>
      <c r="H47" s="43" t="s">
        <v>267</v>
      </c>
      <c r="I47" s="302" t="str">
        <f t="shared" si="41"/>
        <v/>
      </c>
      <c r="J47" s="302" t="str">
        <f t="shared" si="42"/>
        <v/>
      </c>
      <c r="K47" s="302" t="str">
        <f t="shared" si="42"/>
        <v/>
      </c>
      <c r="L47" s="302" t="str">
        <f t="shared" si="43"/>
        <v/>
      </c>
      <c r="M47" s="302" t="str">
        <f t="shared" si="44"/>
        <v/>
      </c>
      <c r="N47" s="302" t="str">
        <f t="shared" si="45"/>
        <v/>
      </c>
      <c r="O47" s="302" t="str">
        <f t="shared" si="46"/>
        <v/>
      </c>
      <c r="P47" s="302" t="str">
        <f t="shared" si="47"/>
        <v/>
      </c>
      <c r="Q47" s="302" t="str">
        <f t="shared" si="47"/>
        <v/>
      </c>
      <c r="R47" s="302" t="str">
        <f t="shared" si="48"/>
        <v/>
      </c>
      <c r="S47" s="302" t="str">
        <f t="shared" si="49"/>
        <v/>
      </c>
      <c r="T47" s="302" t="str">
        <f t="shared" si="49"/>
        <v/>
      </c>
      <c r="U47" s="303">
        <f t="shared" si="40"/>
        <v>0</v>
      </c>
      <c r="V47" s="214">
        <f t="shared" si="50"/>
        <v>0</v>
      </c>
      <c r="W47" s="322">
        <f t="shared" si="36"/>
        <v>0</v>
      </c>
    </row>
    <row r="48" spans="1:23" x14ac:dyDescent="0.2">
      <c r="A48" s="1099"/>
      <c r="B48" s="140" t="s">
        <v>610</v>
      </c>
      <c r="C48" s="151" t="s">
        <v>606</v>
      </c>
      <c r="D48" s="95"/>
      <c r="E48" s="250"/>
      <c r="F48" s="251"/>
      <c r="H48" s="43" t="s">
        <v>267</v>
      </c>
      <c r="I48" s="302" t="str">
        <f t="shared" si="41"/>
        <v/>
      </c>
      <c r="J48" s="302" t="str">
        <f t="shared" si="42"/>
        <v/>
      </c>
      <c r="K48" s="302" t="str">
        <f t="shared" si="42"/>
        <v/>
      </c>
      <c r="L48" s="302" t="str">
        <f t="shared" si="43"/>
        <v/>
      </c>
      <c r="M48" s="302" t="str">
        <f t="shared" si="44"/>
        <v/>
      </c>
      <c r="N48" s="302" t="str">
        <f t="shared" si="45"/>
        <v/>
      </c>
      <c r="O48" s="302" t="str">
        <f t="shared" si="46"/>
        <v/>
      </c>
      <c r="P48" s="302" t="str">
        <f t="shared" si="47"/>
        <v/>
      </c>
      <c r="Q48" s="302" t="str">
        <f t="shared" si="47"/>
        <v/>
      </c>
      <c r="R48" s="302" t="str">
        <f t="shared" si="48"/>
        <v/>
      </c>
      <c r="S48" s="302" t="str">
        <f t="shared" si="49"/>
        <v/>
      </c>
      <c r="T48" s="302" t="str">
        <f t="shared" si="49"/>
        <v/>
      </c>
      <c r="U48" s="303">
        <f t="shared" si="40"/>
        <v>0</v>
      </c>
      <c r="V48" s="214">
        <f t="shared" si="50"/>
        <v>0</v>
      </c>
      <c r="W48" s="322">
        <f t="shared" si="36"/>
        <v>0</v>
      </c>
    </row>
    <row r="49" spans="1:23" x14ac:dyDescent="0.2">
      <c r="A49" s="1099"/>
      <c r="B49" s="140" t="s">
        <v>612</v>
      </c>
      <c r="C49" s="151" t="s">
        <v>608</v>
      </c>
      <c r="D49" s="95"/>
      <c r="E49" s="250"/>
      <c r="F49" s="251"/>
      <c r="H49" s="43" t="s">
        <v>267</v>
      </c>
      <c r="I49" s="302" t="str">
        <f t="shared" si="41"/>
        <v/>
      </c>
      <c r="J49" s="302" t="str">
        <f t="shared" si="42"/>
        <v/>
      </c>
      <c r="K49" s="302" t="str">
        <f t="shared" si="42"/>
        <v/>
      </c>
      <c r="L49" s="302" t="str">
        <f t="shared" si="43"/>
        <v/>
      </c>
      <c r="M49" s="302" t="str">
        <f t="shared" si="44"/>
        <v/>
      </c>
      <c r="N49" s="302" t="str">
        <f t="shared" si="45"/>
        <v/>
      </c>
      <c r="O49" s="302" t="str">
        <f t="shared" si="46"/>
        <v/>
      </c>
      <c r="P49" s="302" t="str">
        <f t="shared" si="47"/>
        <v/>
      </c>
      <c r="Q49" s="302" t="str">
        <f t="shared" si="47"/>
        <v/>
      </c>
      <c r="R49" s="302" t="str">
        <f t="shared" si="48"/>
        <v/>
      </c>
      <c r="S49" s="302" t="str">
        <f t="shared" si="49"/>
        <v/>
      </c>
      <c r="T49" s="302" t="str">
        <f t="shared" si="49"/>
        <v/>
      </c>
      <c r="U49" s="303">
        <f t="shared" si="40"/>
        <v>0</v>
      </c>
      <c r="V49" s="214">
        <f t="shared" si="50"/>
        <v>0</v>
      </c>
      <c r="W49" s="322">
        <f t="shared" si="36"/>
        <v>0</v>
      </c>
    </row>
    <row r="50" spans="1:23" x14ac:dyDescent="0.2">
      <c r="A50" s="1099"/>
      <c r="B50" s="140" t="s">
        <v>619</v>
      </c>
      <c r="C50" s="108" t="s">
        <v>613</v>
      </c>
      <c r="D50" s="95"/>
      <c r="E50" s="250"/>
      <c r="F50" s="251"/>
      <c r="H50" s="43" t="s">
        <v>267</v>
      </c>
      <c r="I50" s="302" t="str">
        <f t="shared" si="41"/>
        <v/>
      </c>
      <c r="J50" s="302" t="str">
        <f t="shared" si="42"/>
        <v/>
      </c>
      <c r="K50" s="302" t="str">
        <f t="shared" si="42"/>
        <v/>
      </c>
      <c r="L50" s="302" t="str">
        <f t="shared" si="43"/>
        <v/>
      </c>
      <c r="M50" s="302" t="str">
        <f t="shared" si="44"/>
        <v/>
      </c>
      <c r="N50" s="302" t="str">
        <f t="shared" si="45"/>
        <v/>
      </c>
      <c r="O50" s="302" t="str">
        <f t="shared" si="46"/>
        <v/>
      </c>
      <c r="P50" s="302" t="str">
        <f t="shared" si="47"/>
        <v/>
      </c>
      <c r="Q50" s="302" t="str">
        <f t="shared" si="47"/>
        <v/>
      </c>
      <c r="R50" s="302" t="str">
        <f t="shared" si="48"/>
        <v/>
      </c>
      <c r="S50" s="302" t="str">
        <f t="shared" si="49"/>
        <v/>
      </c>
      <c r="T50" s="302" t="str">
        <f t="shared" si="49"/>
        <v/>
      </c>
      <c r="U50" s="303">
        <f t="shared" si="40"/>
        <v>0</v>
      </c>
      <c r="V50" s="214">
        <f t="shared" si="50"/>
        <v>0</v>
      </c>
      <c r="W50" s="322">
        <f t="shared" si="36"/>
        <v>0</v>
      </c>
    </row>
    <row r="51" spans="1:23" x14ac:dyDescent="0.2">
      <c r="A51" s="1099"/>
      <c r="B51" s="140" t="s">
        <v>618</v>
      </c>
      <c r="C51" s="108" t="s">
        <v>616</v>
      </c>
      <c r="D51" s="417"/>
      <c r="E51" s="250"/>
      <c r="F51" s="251"/>
      <c r="H51" s="43" t="s">
        <v>267</v>
      </c>
      <c r="I51" s="302" t="str">
        <f t="shared" si="41"/>
        <v/>
      </c>
      <c r="J51" s="302" t="str">
        <f t="shared" si="42"/>
        <v/>
      </c>
      <c r="K51" s="302" t="str">
        <f t="shared" si="42"/>
        <v/>
      </c>
      <c r="L51" s="302" t="str">
        <f t="shared" si="43"/>
        <v/>
      </c>
      <c r="M51" s="302" t="str">
        <f t="shared" si="44"/>
        <v/>
      </c>
      <c r="N51" s="302" t="str">
        <f t="shared" si="45"/>
        <v/>
      </c>
      <c r="O51" s="302" t="str">
        <f t="shared" si="46"/>
        <v/>
      </c>
      <c r="P51" s="302" t="str">
        <f t="shared" si="47"/>
        <v/>
      </c>
      <c r="Q51" s="302" t="str">
        <f t="shared" si="47"/>
        <v/>
      </c>
      <c r="R51" s="302" t="str">
        <f t="shared" si="48"/>
        <v/>
      </c>
      <c r="S51" s="302" t="str">
        <f t="shared" si="49"/>
        <v/>
      </c>
      <c r="T51" s="302" t="str">
        <f t="shared" si="49"/>
        <v/>
      </c>
      <c r="U51" s="303">
        <f t="shared" si="40"/>
        <v>0</v>
      </c>
      <c r="V51" s="214">
        <f t="shared" si="50"/>
        <v>0</v>
      </c>
      <c r="W51" s="322">
        <f t="shared" si="36"/>
        <v>0</v>
      </c>
    </row>
    <row r="52" spans="1:23" x14ac:dyDescent="0.2">
      <c r="A52" s="1099"/>
      <c r="B52" s="140" t="s">
        <v>620</v>
      </c>
      <c r="C52" s="108" t="s">
        <v>615</v>
      </c>
      <c r="D52" s="95"/>
      <c r="E52" s="250"/>
      <c r="F52" s="251"/>
      <c r="H52" s="43" t="s">
        <v>267</v>
      </c>
      <c r="I52" s="302" t="str">
        <f t="shared" si="41"/>
        <v/>
      </c>
      <c r="J52" s="302" t="str">
        <f t="shared" si="42"/>
        <v/>
      </c>
      <c r="K52" s="302" t="str">
        <f t="shared" si="42"/>
        <v/>
      </c>
      <c r="L52" s="302" t="str">
        <f t="shared" si="43"/>
        <v/>
      </c>
      <c r="M52" s="302" t="str">
        <f t="shared" si="44"/>
        <v/>
      </c>
      <c r="N52" s="302" t="str">
        <f t="shared" si="45"/>
        <v/>
      </c>
      <c r="O52" s="302" t="str">
        <f t="shared" si="46"/>
        <v/>
      </c>
      <c r="P52" s="302" t="str">
        <f t="shared" si="47"/>
        <v/>
      </c>
      <c r="Q52" s="302" t="str">
        <f t="shared" si="47"/>
        <v/>
      </c>
      <c r="R52" s="302" t="str">
        <f t="shared" si="48"/>
        <v/>
      </c>
      <c r="S52" s="302" t="str">
        <f t="shared" si="49"/>
        <v/>
      </c>
      <c r="T52" s="302" t="str">
        <f t="shared" si="49"/>
        <v/>
      </c>
      <c r="U52" s="303">
        <f t="shared" si="40"/>
        <v>0</v>
      </c>
      <c r="V52" s="214">
        <f t="shared" si="50"/>
        <v>0</v>
      </c>
      <c r="W52" s="322">
        <f t="shared" si="36"/>
        <v>0</v>
      </c>
    </row>
    <row r="53" spans="1:23" x14ac:dyDescent="0.2">
      <c r="A53" s="1099"/>
      <c r="B53" s="140" t="s">
        <v>614</v>
      </c>
      <c r="C53" s="108" t="s">
        <v>617</v>
      </c>
      <c r="D53" s="95"/>
      <c r="E53" s="250"/>
      <c r="F53" s="251"/>
      <c r="H53" s="43" t="s">
        <v>267</v>
      </c>
      <c r="I53" s="302" t="str">
        <f t="shared" si="41"/>
        <v/>
      </c>
      <c r="J53" s="302" t="str">
        <f t="shared" si="42"/>
        <v/>
      </c>
      <c r="K53" s="302" t="str">
        <f t="shared" si="42"/>
        <v/>
      </c>
      <c r="L53" s="302" t="str">
        <f t="shared" si="43"/>
        <v/>
      </c>
      <c r="M53" s="302" t="str">
        <f t="shared" si="44"/>
        <v/>
      </c>
      <c r="N53" s="302" t="str">
        <f t="shared" si="45"/>
        <v/>
      </c>
      <c r="O53" s="302" t="str">
        <f t="shared" si="46"/>
        <v/>
      </c>
      <c r="P53" s="302" t="str">
        <f t="shared" si="47"/>
        <v/>
      </c>
      <c r="Q53" s="302" t="str">
        <f t="shared" si="47"/>
        <v/>
      </c>
      <c r="R53" s="302" t="str">
        <f t="shared" si="48"/>
        <v/>
      </c>
      <c r="S53" s="302" t="str">
        <f t="shared" si="49"/>
        <v/>
      </c>
      <c r="T53" s="302" t="str">
        <f t="shared" si="49"/>
        <v/>
      </c>
      <c r="U53" s="303">
        <f t="shared" si="40"/>
        <v>0</v>
      </c>
      <c r="V53" s="214">
        <f t="shared" si="50"/>
        <v>0</v>
      </c>
      <c r="W53" s="322">
        <f t="shared" si="36"/>
        <v>0</v>
      </c>
    </row>
    <row r="54" spans="1:23" x14ac:dyDescent="0.2">
      <c r="A54" s="1099"/>
      <c r="B54" s="140" t="s">
        <v>552</v>
      </c>
      <c r="C54" s="108" t="s">
        <v>724</v>
      </c>
      <c r="D54" s="95"/>
      <c r="E54" s="250"/>
      <c r="F54" s="251"/>
      <c r="H54" s="43" t="s">
        <v>267</v>
      </c>
      <c r="I54" s="302" t="str">
        <f t="shared" si="41"/>
        <v/>
      </c>
      <c r="J54" s="302" t="str">
        <f t="shared" si="42"/>
        <v/>
      </c>
      <c r="K54" s="302" t="str">
        <f t="shared" si="42"/>
        <v/>
      </c>
      <c r="L54" s="302" t="str">
        <f t="shared" si="43"/>
        <v/>
      </c>
      <c r="M54" s="302" t="str">
        <f t="shared" si="44"/>
        <v/>
      </c>
      <c r="N54" s="302" t="str">
        <f t="shared" si="45"/>
        <v/>
      </c>
      <c r="O54" s="302" t="str">
        <f t="shared" si="46"/>
        <v/>
      </c>
      <c r="P54" s="302" t="str">
        <f t="shared" si="47"/>
        <v/>
      </c>
      <c r="Q54" s="302" t="str">
        <f t="shared" si="47"/>
        <v/>
      </c>
      <c r="R54" s="302" t="str">
        <f t="shared" si="48"/>
        <v/>
      </c>
      <c r="S54" s="302" t="str">
        <f t="shared" si="49"/>
        <v/>
      </c>
      <c r="T54" s="302" t="str">
        <f t="shared" si="49"/>
        <v/>
      </c>
      <c r="U54" s="303">
        <f t="shared" si="40"/>
        <v>0</v>
      </c>
      <c r="V54" s="214">
        <f t="shared" si="50"/>
        <v>0</v>
      </c>
      <c r="W54" s="322">
        <f t="shared" si="36"/>
        <v>0</v>
      </c>
    </row>
    <row r="55" spans="1:23" x14ac:dyDescent="0.2">
      <c r="A55" s="1099"/>
      <c r="B55" s="140" t="s">
        <v>627</v>
      </c>
      <c r="C55" s="108" t="s">
        <v>726</v>
      </c>
      <c r="D55" s="417"/>
      <c r="E55" s="250"/>
      <c r="F55" s="251"/>
      <c r="H55" s="43" t="s">
        <v>267</v>
      </c>
      <c r="I55" s="302" t="str">
        <f t="shared" si="41"/>
        <v/>
      </c>
      <c r="J55" s="302" t="str">
        <f t="shared" si="42"/>
        <v/>
      </c>
      <c r="K55" s="302" t="str">
        <f t="shared" si="42"/>
        <v/>
      </c>
      <c r="L55" s="302" t="str">
        <f t="shared" si="43"/>
        <v/>
      </c>
      <c r="M55" s="302" t="str">
        <f t="shared" si="44"/>
        <v/>
      </c>
      <c r="N55" s="302" t="str">
        <f t="shared" si="45"/>
        <v/>
      </c>
      <c r="O55" s="302" t="str">
        <f t="shared" si="46"/>
        <v/>
      </c>
      <c r="P55" s="302" t="str">
        <f t="shared" si="47"/>
        <v/>
      </c>
      <c r="Q55" s="302" t="str">
        <f t="shared" si="47"/>
        <v/>
      </c>
      <c r="R55" s="302" t="str">
        <f t="shared" si="48"/>
        <v/>
      </c>
      <c r="S55" s="302" t="str">
        <f t="shared" si="49"/>
        <v/>
      </c>
      <c r="T55" s="302" t="str">
        <f t="shared" si="49"/>
        <v/>
      </c>
      <c r="U55" s="303">
        <f t="shared" si="40"/>
        <v>0</v>
      </c>
      <c r="V55" s="214">
        <f t="shared" si="50"/>
        <v>0</v>
      </c>
      <c r="W55" s="322">
        <f t="shared" si="36"/>
        <v>0</v>
      </c>
    </row>
    <row r="56" spans="1:23" x14ac:dyDescent="0.2">
      <c r="A56" s="1099"/>
      <c r="B56" s="140" t="s">
        <v>628</v>
      </c>
      <c r="C56" s="108" t="s">
        <v>725</v>
      </c>
      <c r="D56" s="95"/>
      <c r="E56" s="250"/>
      <c r="F56" s="251"/>
      <c r="H56" s="43" t="s">
        <v>267</v>
      </c>
      <c r="I56" s="302" t="str">
        <f t="shared" si="41"/>
        <v/>
      </c>
      <c r="J56" s="302" t="str">
        <f t="shared" si="42"/>
        <v/>
      </c>
      <c r="K56" s="302" t="str">
        <f t="shared" si="42"/>
        <v/>
      </c>
      <c r="L56" s="302" t="str">
        <f t="shared" si="43"/>
        <v/>
      </c>
      <c r="M56" s="302" t="str">
        <f t="shared" si="44"/>
        <v/>
      </c>
      <c r="N56" s="302" t="str">
        <f t="shared" si="45"/>
        <v/>
      </c>
      <c r="O56" s="302" t="str">
        <f t="shared" si="46"/>
        <v/>
      </c>
      <c r="P56" s="302" t="str">
        <f t="shared" si="47"/>
        <v/>
      </c>
      <c r="Q56" s="302" t="str">
        <f t="shared" si="47"/>
        <v/>
      </c>
      <c r="R56" s="302" t="str">
        <f t="shared" si="48"/>
        <v/>
      </c>
      <c r="S56" s="302" t="str">
        <f t="shared" si="49"/>
        <v/>
      </c>
      <c r="T56" s="302" t="str">
        <f t="shared" si="49"/>
        <v/>
      </c>
      <c r="U56" s="303">
        <f t="shared" si="40"/>
        <v>0</v>
      </c>
      <c r="V56" s="214">
        <f t="shared" si="50"/>
        <v>0</v>
      </c>
      <c r="W56" s="322">
        <f t="shared" si="36"/>
        <v>0</v>
      </c>
    </row>
    <row r="57" spans="1:23" x14ac:dyDescent="0.2">
      <c r="A57" s="1099"/>
      <c r="B57" s="140" t="s">
        <v>629</v>
      </c>
      <c r="C57" s="108" t="s">
        <v>727</v>
      </c>
      <c r="D57" s="95"/>
      <c r="E57" s="250"/>
      <c r="F57" s="251"/>
      <c r="H57" s="43" t="s">
        <v>267</v>
      </c>
      <c r="I57" s="302" t="str">
        <f t="shared" si="41"/>
        <v/>
      </c>
      <c r="J57" s="302" t="str">
        <f t="shared" si="42"/>
        <v/>
      </c>
      <c r="K57" s="302" t="str">
        <f t="shared" si="42"/>
        <v/>
      </c>
      <c r="L57" s="302" t="str">
        <f t="shared" si="43"/>
        <v/>
      </c>
      <c r="M57" s="302" t="str">
        <f t="shared" si="44"/>
        <v/>
      </c>
      <c r="N57" s="302" t="str">
        <f t="shared" si="45"/>
        <v/>
      </c>
      <c r="O57" s="302" t="str">
        <f t="shared" si="46"/>
        <v/>
      </c>
      <c r="P57" s="302" t="str">
        <f t="shared" si="47"/>
        <v/>
      </c>
      <c r="Q57" s="302" t="str">
        <f t="shared" si="47"/>
        <v/>
      </c>
      <c r="R57" s="302" t="str">
        <f t="shared" si="48"/>
        <v/>
      </c>
      <c r="S57" s="302" t="str">
        <f t="shared" si="49"/>
        <v/>
      </c>
      <c r="T57" s="302" t="str">
        <f t="shared" si="49"/>
        <v/>
      </c>
      <c r="U57" s="303">
        <f t="shared" si="40"/>
        <v>0</v>
      </c>
      <c r="V57" s="214">
        <f t="shared" si="50"/>
        <v>0</v>
      </c>
      <c r="W57" s="322">
        <f t="shared" si="36"/>
        <v>0</v>
      </c>
    </row>
    <row r="58" spans="1:23" x14ac:dyDescent="0.2">
      <c r="A58" s="1099"/>
      <c r="B58" s="140"/>
      <c r="C58" s="108"/>
      <c r="D58" s="95"/>
      <c r="E58" s="250"/>
      <c r="F58" s="251"/>
      <c r="H58" s="43" t="s">
        <v>267</v>
      </c>
      <c r="I58" s="302" t="str">
        <f t="shared" si="41"/>
        <v/>
      </c>
      <c r="J58" s="302" t="str">
        <f t="shared" si="42"/>
        <v/>
      </c>
      <c r="K58" s="302" t="str">
        <f t="shared" si="42"/>
        <v/>
      </c>
      <c r="L58" s="302" t="str">
        <f t="shared" si="43"/>
        <v/>
      </c>
      <c r="M58" s="302" t="str">
        <f t="shared" si="44"/>
        <v/>
      </c>
      <c r="N58" s="302" t="str">
        <f t="shared" si="45"/>
        <v/>
      </c>
      <c r="O58" s="302" t="str">
        <f t="shared" si="46"/>
        <v/>
      </c>
      <c r="P58" s="302" t="str">
        <f t="shared" si="47"/>
        <v/>
      </c>
      <c r="Q58" s="302" t="str">
        <f t="shared" si="47"/>
        <v/>
      </c>
      <c r="R58" s="302" t="str">
        <f t="shared" si="48"/>
        <v/>
      </c>
      <c r="S58" s="302" t="str">
        <f t="shared" si="49"/>
        <v/>
      </c>
      <c r="T58" s="302" t="str">
        <f t="shared" si="49"/>
        <v/>
      </c>
      <c r="U58" s="303">
        <f t="shared" si="40"/>
        <v>0</v>
      </c>
      <c r="V58" s="214">
        <f t="shared" si="50"/>
        <v>0</v>
      </c>
      <c r="W58" s="322">
        <f t="shared" si="36"/>
        <v>0</v>
      </c>
    </row>
    <row r="59" spans="1:23" x14ac:dyDescent="0.2">
      <c r="A59" s="1099"/>
      <c r="B59" s="140"/>
      <c r="C59" s="108"/>
      <c r="D59" s="95"/>
      <c r="E59" s="250"/>
      <c r="F59" s="251"/>
      <c r="H59" s="43" t="s">
        <v>267</v>
      </c>
      <c r="I59" s="302" t="str">
        <f t="shared" si="41"/>
        <v/>
      </c>
      <c r="J59" s="302" t="str">
        <f t="shared" si="42"/>
        <v/>
      </c>
      <c r="K59" s="302" t="str">
        <f t="shared" si="42"/>
        <v/>
      </c>
      <c r="L59" s="302" t="str">
        <f t="shared" si="43"/>
        <v/>
      </c>
      <c r="M59" s="302" t="str">
        <f t="shared" si="44"/>
        <v/>
      </c>
      <c r="N59" s="302" t="str">
        <f t="shared" si="45"/>
        <v/>
      </c>
      <c r="O59" s="302" t="str">
        <f t="shared" si="46"/>
        <v/>
      </c>
      <c r="P59" s="302" t="str">
        <f t="shared" si="47"/>
        <v/>
      </c>
      <c r="Q59" s="302" t="str">
        <f t="shared" si="47"/>
        <v/>
      </c>
      <c r="R59" s="302" t="str">
        <f t="shared" si="48"/>
        <v/>
      </c>
      <c r="S59" s="302" t="str">
        <f t="shared" si="49"/>
        <v/>
      </c>
      <c r="T59" s="302" t="str">
        <f t="shared" si="49"/>
        <v/>
      </c>
      <c r="U59" s="303">
        <f t="shared" si="40"/>
        <v>0</v>
      </c>
      <c r="V59" s="214">
        <f t="shared" si="50"/>
        <v>0</v>
      </c>
      <c r="W59" s="322">
        <f t="shared" si="36"/>
        <v>0</v>
      </c>
    </row>
    <row r="60" spans="1:23" x14ac:dyDescent="0.2">
      <c r="A60" s="1099"/>
      <c r="B60" s="140"/>
      <c r="C60" s="108"/>
      <c r="D60" s="95"/>
      <c r="E60" s="250"/>
      <c r="F60" s="251"/>
      <c r="H60" s="43" t="s">
        <v>267</v>
      </c>
      <c r="I60" s="302" t="str">
        <f t="shared" si="41"/>
        <v/>
      </c>
      <c r="J60" s="302" t="str">
        <f t="shared" si="42"/>
        <v/>
      </c>
      <c r="K60" s="302" t="str">
        <f t="shared" si="42"/>
        <v/>
      </c>
      <c r="L60" s="302" t="str">
        <f t="shared" si="43"/>
        <v/>
      </c>
      <c r="M60" s="302" t="str">
        <f t="shared" si="44"/>
        <v/>
      </c>
      <c r="N60" s="302" t="str">
        <f t="shared" si="45"/>
        <v/>
      </c>
      <c r="O60" s="302" t="str">
        <f t="shared" si="46"/>
        <v/>
      </c>
      <c r="P60" s="302" t="str">
        <f t="shared" si="47"/>
        <v/>
      </c>
      <c r="Q60" s="302" t="str">
        <f t="shared" si="47"/>
        <v/>
      </c>
      <c r="R60" s="302" t="str">
        <f t="shared" si="48"/>
        <v/>
      </c>
      <c r="S60" s="302" t="str">
        <f t="shared" si="49"/>
        <v/>
      </c>
      <c r="T60" s="302" t="str">
        <f t="shared" si="49"/>
        <v/>
      </c>
      <c r="U60" s="303">
        <f t="shared" si="40"/>
        <v>0</v>
      </c>
      <c r="V60" s="214">
        <f t="shared" si="50"/>
        <v>0</v>
      </c>
      <c r="W60" s="322">
        <f t="shared" si="36"/>
        <v>0</v>
      </c>
    </row>
    <row r="61" spans="1:23" x14ac:dyDescent="0.2">
      <c r="A61" s="1099"/>
      <c r="B61" s="140"/>
      <c r="C61" s="108"/>
      <c r="D61" s="95"/>
      <c r="E61" s="250"/>
      <c r="F61" s="251"/>
      <c r="H61" s="43" t="s">
        <v>267</v>
      </c>
      <c r="I61" s="302" t="str">
        <f t="shared" si="41"/>
        <v/>
      </c>
      <c r="J61" s="302" t="str">
        <f t="shared" si="42"/>
        <v/>
      </c>
      <c r="K61" s="302" t="str">
        <f t="shared" si="42"/>
        <v/>
      </c>
      <c r="L61" s="302" t="str">
        <f t="shared" si="43"/>
        <v/>
      </c>
      <c r="M61" s="302" t="str">
        <f t="shared" si="44"/>
        <v/>
      </c>
      <c r="N61" s="302" t="str">
        <f t="shared" si="45"/>
        <v/>
      </c>
      <c r="O61" s="302" t="str">
        <f t="shared" si="46"/>
        <v/>
      </c>
      <c r="P61" s="302" t="str">
        <f t="shared" si="47"/>
        <v/>
      </c>
      <c r="Q61" s="302" t="str">
        <f t="shared" si="47"/>
        <v/>
      </c>
      <c r="R61" s="302" t="str">
        <f t="shared" si="48"/>
        <v/>
      </c>
      <c r="S61" s="302" t="str">
        <f t="shared" si="49"/>
        <v/>
      </c>
      <c r="T61" s="302" t="str">
        <f t="shared" si="49"/>
        <v/>
      </c>
      <c r="U61" s="303">
        <f t="shared" si="40"/>
        <v>0</v>
      </c>
      <c r="V61" s="214">
        <f t="shared" si="50"/>
        <v>0</v>
      </c>
      <c r="W61" s="322">
        <f t="shared" si="36"/>
        <v>0</v>
      </c>
    </row>
    <row r="62" spans="1:23" x14ac:dyDescent="0.2">
      <c r="A62" s="1099"/>
      <c r="B62" s="140"/>
      <c r="C62" s="108"/>
      <c r="D62" s="95"/>
      <c r="E62" s="250"/>
      <c r="F62" s="251"/>
      <c r="H62" s="43" t="s">
        <v>267</v>
      </c>
      <c r="I62" s="302" t="str">
        <f t="shared" si="41"/>
        <v/>
      </c>
      <c r="J62" s="302" t="str">
        <f t="shared" si="42"/>
        <v/>
      </c>
      <c r="K62" s="302" t="str">
        <f t="shared" si="42"/>
        <v/>
      </c>
      <c r="L62" s="302" t="str">
        <f t="shared" si="43"/>
        <v/>
      </c>
      <c r="M62" s="302" t="str">
        <f t="shared" si="44"/>
        <v/>
      </c>
      <c r="N62" s="302" t="str">
        <f t="shared" si="45"/>
        <v/>
      </c>
      <c r="O62" s="302" t="str">
        <f t="shared" si="46"/>
        <v/>
      </c>
      <c r="P62" s="302" t="str">
        <f t="shared" si="47"/>
        <v/>
      </c>
      <c r="Q62" s="302" t="str">
        <f t="shared" si="47"/>
        <v/>
      </c>
      <c r="R62" s="302" t="str">
        <f t="shared" si="48"/>
        <v/>
      </c>
      <c r="S62" s="302" t="str">
        <f t="shared" si="49"/>
        <v/>
      </c>
      <c r="T62" s="302" t="str">
        <f t="shared" si="49"/>
        <v/>
      </c>
      <c r="U62" s="303">
        <f t="shared" si="40"/>
        <v>0</v>
      </c>
      <c r="V62" s="214">
        <f t="shared" si="50"/>
        <v>0</v>
      </c>
      <c r="W62" s="322">
        <f t="shared" si="36"/>
        <v>0</v>
      </c>
    </row>
    <row r="63" spans="1:23" x14ac:dyDescent="0.2">
      <c r="A63" s="1099"/>
      <c r="B63" s="140"/>
      <c r="C63" s="108"/>
      <c r="D63" s="95"/>
      <c r="E63" s="250"/>
      <c r="F63" s="251"/>
      <c r="H63" s="43" t="s">
        <v>267</v>
      </c>
      <c r="I63" s="302" t="str">
        <f t="shared" si="41"/>
        <v/>
      </c>
      <c r="J63" s="302" t="str">
        <f t="shared" si="42"/>
        <v/>
      </c>
      <c r="K63" s="302" t="str">
        <f t="shared" si="42"/>
        <v/>
      </c>
      <c r="L63" s="302" t="str">
        <f t="shared" si="43"/>
        <v/>
      </c>
      <c r="M63" s="302" t="str">
        <f t="shared" si="44"/>
        <v/>
      </c>
      <c r="N63" s="302" t="str">
        <f t="shared" si="45"/>
        <v/>
      </c>
      <c r="O63" s="302" t="str">
        <f t="shared" si="46"/>
        <v/>
      </c>
      <c r="P63" s="302" t="str">
        <f t="shared" si="47"/>
        <v/>
      </c>
      <c r="Q63" s="302" t="str">
        <f t="shared" si="47"/>
        <v/>
      </c>
      <c r="R63" s="302" t="str">
        <f t="shared" si="48"/>
        <v/>
      </c>
      <c r="S63" s="302" t="str">
        <f t="shared" si="49"/>
        <v/>
      </c>
      <c r="T63" s="302" t="str">
        <f t="shared" si="49"/>
        <v/>
      </c>
      <c r="U63" s="303">
        <f t="shared" si="40"/>
        <v>0</v>
      </c>
      <c r="V63" s="214">
        <f t="shared" si="50"/>
        <v>0</v>
      </c>
      <c r="W63" s="322">
        <f t="shared" si="36"/>
        <v>0</v>
      </c>
    </row>
    <row r="64" spans="1:23" x14ac:dyDescent="0.2">
      <c r="A64" s="1099"/>
      <c r="B64" s="140"/>
      <c r="C64" s="108"/>
      <c r="D64" s="95"/>
      <c r="E64" s="250"/>
      <c r="F64" s="251"/>
      <c r="H64" s="43" t="s">
        <v>267</v>
      </c>
      <c r="I64" s="302" t="str">
        <f t="shared" si="41"/>
        <v/>
      </c>
      <c r="J64" s="302" t="str">
        <f t="shared" si="42"/>
        <v/>
      </c>
      <c r="K64" s="302" t="str">
        <f t="shared" si="42"/>
        <v/>
      </c>
      <c r="L64" s="302" t="str">
        <f t="shared" si="43"/>
        <v/>
      </c>
      <c r="M64" s="302" t="str">
        <f t="shared" si="44"/>
        <v/>
      </c>
      <c r="N64" s="302" t="str">
        <f t="shared" si="45"/>
        <v/>
      </c>
      <c r="O64" s="302" t="str">
        <f t="shared" si="46"/>
        <v/>
      </c>
      <c r="P64" s="302" t="str">
        <f t="shared" si="47"/>
        <v/>
      </c>
      <c r="Q64" s="302" t="str">
        <f t="shared" si="47"/>
        <v/>
      </c>
      <c r="R64" s="302" t="str">
        <f t="shared" si="48"/>
        <v/>
      </c>
      <c r="S64" s="302" t="str">
        <f t="shared" si="49"/>
        <v/>
      </c>
      <c r="T64" s="302" t="str">
        <f t="shared" si="49"/>
        <v/>
      </c>
      <c r="U64" s="303">
        <f t="shared" si="40"/>
        <v>0</v>
      </c>
      <c r="V64" s="214">
        <f t="shared" si="50"/>
        <v>0</v>
      </c>
      <c r="W64" s="322">
        <f t="shared" si="36"/>
        <v>0</v>
      </c>
    </row>
    <row r="65" spans="1:23" x14ac:dyDescent="0.2">
      <c r="A65" s="1099"/>
      <c r="B65" s="140"/>
      <c r="C65" s="108"/>
      <c r="D65" s="95"/>
      <c r="E65" s="250"/>
      <c r="F65" s="251"/>
      <c r="H65" s="43" t="s">
        <v>267</v>
      </c>
      <c r="I65" s="302" t="str">
        <f t="shared" si="41"/>
        <v/>
      </c>
      <c r="J65" s="302" t="str">
        <f t="shared" si="42"/>
        <v/>
      </c>
      <c r="K65" s="302" t="str">
        <f t="shared" si="42"/>
        <v/>
      </c>
      <c r="L65" s="302" t="str">
        <f t="shared" si="43"/>
        <v/>
      </c>
      <c r="M65" s="302" t="str">
        <f t="shared" si="44"/>
        <v/>
      </c>
      <c r="N65" s="302" t="str">
        <f t="shared" si="45"/>
        <v/>
      </c>
      <c r="O65" s="302" t="str">
        <f t="shared" si="46"/>
        <v/>
      </c>
      <c r="P65" s="302" t="str">
        <f t="shared" si="47"/>
        <v/>
      </c>
      <c r="Q65" s="302" t="str">
        <f t="shared" si="47"/>
        <v/>
      </c>
      <c r="R65" s="302" t="str">
        <f t="shared" si="48"/>
        <v/>
      </c>
      <c r="S65" s="302" t="str">
        <f t="shared" si="49"/>
        <v/>
      </c>
      <c r="T65" s="302" t="str">
        <f t="shared" si="49"/>
        <v/>
      </c>
      <c r="U65" s="303">
        <f t="shared" si="40"/>
        <v>0</v>
      </c>
      <c r="V65" s="214">
        <f t="shared" si="50"/>
        <v>0</v>
      </c>
      <c r="W65" s="322">
        <f t="shared" si="36"/>
        <v>0</v>
      </c>
    </row>
    <row r="66" spans="1:23" x14ac:dyDescent="0.2">
      <c r="A66" s="1099"/>
      <c r="B66" s="140"/>
      <c r="C66" s="108"/>
      <c r="D66" s="95"/>
      <c r="E66" s="250"/>
      <c r="F66" s="251"/>
      <c r="H66" s="43" t="s">
        <v>267</v>
      </c>
      <c r="I66" s="302" t="str">
        <f t="shared" si="41"/>
        <v/>
      </c>
      <c r="J66" s="302" t="str">
        <f t="shared" si="42"/>
        <v/>
      </c>
      <c r="K66" s="302" t="str">
        <f t="shared" si="42"/>
        <v/>
      </c>
      <c r="L66" s="302" t="str">
        <f t="shared" si="43"/>
        <v/>
      </c>
      <c r="M66" s="302" t="str">
        <f t="shared" si="44"/>
        <v/>
      </c>
      <c r="N66" s="302" t="str">
        <f t="shared" si="45"/>
        <v/>
      </c>
      <c r="O66" s="302" t="str">
        <f t="shared" si="46"/>
        <v/>
      </c>
      <c r="P66" s="302" t="str">
        <f t="shared" si="47"/>
        <v/>
      </c>
      <c r="Q66" s="302" t="str">
        <f t="shared" si="47"/>
        <v/>
      </c>
      <c r="R66" s="302" t="str">
        <f t="shared" si="48"/>
        <v/>
      </c>
      <c r="S66" s="302" t="str">
        <f t="shared" si="49"/>
        <v/>
      </c>
      <c r="T66" s="302" t="str">
        <f t="shared" si="49"/>
        <v/>
      </c>
      <c r="U66" s="303">
        <f t="shared" si="40"/>
        <v>0</v>
      </c>
      <c r="V66" s="214">
        <f t="shared" si="50"/>
        <v>0</v>
      </c>
      <c r="W66" s="322">
        <f t="shared" si="36"/>
        <v>0</v>
      </c>
    </row>
    <row r="67" spans="1:23" x14ac:dyDescent="0.2">
      <c r="A67" s="1099"/>
      <c r="B67" s="140"/>
      <c r="C67" s="108"/>
      <c r="D67" s="95"/>
      <c r="E67" s="250"/>
      <c r="F67" s="251"/>
      <c r="H67" s="43" t="s">
        <v>267</v>
      </c>
      <c r="I67" s="302" t="str">
        <f t="shared" si="41"/>
        <v/>
      </c>
      <c r="J67" s="302" t="str">
        <f t="shared" si="42"/>
        <v/>
      </c>
      <c r="K67" s="302" t="str">
        <f t="shared" si="42"/>
        <v/>
      </c>
      <c r="L67" s="302" t="str">
        <f t="shared" si="43"/>
        <v/>
      </c>
      <c r="M67" s="302" t="str">
        <f t="shared" si="44"/>
        <v/>
      </c>
      <c r="N67" s="302" t="str">
        <f t="shared" si="45"/>
        <v/>
      </c>
      <c r="O67" s="302" t="str">
        <f t="shared" si="46"/>
        <v/>
      </c>
      <c r="P67" s="302" t="str">
        <f t="shared" si="47"/>
        <v/>
      </c>
      <c r="Q67" s="302" t="str">
        <f t="shared" si="47"/>
        <v/>
      </c>
      <c r="R67" s="302" t="str">
        <f t="shared" si="48"/>
        <v/>
      </c>
      <c r="S67" s="302" t="str">
        <f t="shared" si="49"/>
        <v/>
      </c>
      <c r="T67" s="302" t="str">
        <f t="shared" si="49"/>
        <v/>
      </c>
      <c r="U67" s="303">
        <f t="shared" si="40"/>
        <v>0</v>
      </c>
      <c r="V67" s="214">
        <f t="shared" si="50"/>
        <v>0</v>
      </c>
      <c r="W67" s="322">
        <f t="shared" si="36"/>
        <v>0</v>
      </c>
    </row>
    <row r="68" spans="1:23" x14ac:dyDescent="0.2">
      <c r="A68" s="1099"/>
      <c r="B68" s="140"/>
      <c r="C68" s="108"/>
      <c r="D68" s="95"/>
      <c r="E68" s="250"/>
      <c r="F68" s="251"/>
      <c r="H68" s="43" t="s">
        <v>267</v>
      </c>
      <c r="I68" s="302" t="str">
        <f t="shared" si="41"/>
        <v/>
      </c>
      <c r="J68" s="302" t="str">
        <f t="shared" si="42"/>
        <v/>
      </c>
      <c r="K68" s="302" t="str">
        <f t="shared" si="42"/>
        <v/>
      </c>
      <c r="L68" s="302" t="str">
        <f t="shared" si="43"/>
        <v/>
      </c>
      <c r="M68" s="302" t="str">
        <f t="shared" si="44"/>
        <v/>
      </c>
      <c r="N68" s="302" t="str">
        <f t="shared" si="45"/>
        <v/>
      </c>
      <c r="O68" s="302" t="str">
        <f t="shared" si="46"/>
        <v/>
      </c>
      <c r="P68" s="302" t="str">
        <f t="shared" si="47"/>
        <v/>
      </c>
      <c r="Q68" s="302" t="str">
        <f t="shared" si="47"/>
        <v/>
      </c>
      <c r="R68" s="302" t="str">
        <f t="shared" si="48"/>
        <v/>
      </c>
      <c r="S68" s="302" t="str">
        <f t="shared" si="49"/>
        <v/>
      </c>
      <c r="T68" s="302" t="str">
        <f t="shared" si="49"/>
        <v/>
      </c>
      <c r="U68" s="303">
        <f t="shared" si="40"/>
        <v>0</v>
      </c>
      <c r="V68" s="214">
        <f t="shared" si="50"/>
        <v>0</v>
      </c>
      <c r="W68" s="322">
        <f t="shared" si="36"/>
        <v>0</v>
      </c>
    </row>
    <row r="69" spans="1:23" x14ac:dyDescent="0.2">
      <c r="A69" s="1099"/>
      <c r="B69" s="140"/>
      <c r="C69" s="108"/>
      <c r="D69" s="95"/>
      <c r="E69" s="250"/>
      <c r="F69" s="251"/>
      <c r="H69" s="43" t="s">
        <v>267</v>
      </c>
      <c r="I69" s="302" t="str">
        <f t="shared" si="41"/>
        <v/>
      </c>
      <c r="J69" s="302" t="str">
        <f t="shared" si="42"/>
        <v/>
      </c>
      <c r="K69" s="302" t="str">
        <f t="shared" si="42"/>
        <v/>
      </c>
      <c r="L69" s="302" t="str">
        <f t="shared" si="43"/>
        <v/>
      </c>
      <c r="M69" s="302" t="str">
        <f t="shared" si="44"/>
        <v/>
      </c>
      <c r="N69" s="302" t="str">
        <f t="shared" si="45"/>
        <v/>
      </c>
      <c r="O69" s="302" t="str">
        <f t="shared" si="46"/>
        <v/>
      </c>
      <c r="P69" s="302" t="str">
        <f t="shared" si="47"/>
        <v/>
      </c>
      <c r="Q69" s="302" t="str">
        <f t="shared" si="47"/>
        <v/>
      </c>
      <c r="R69" s="302" t="str">
        <f t="shared" si="48"/>
        <v/>
      </c>
      <c r="S69" s="302" t="str">
        <f t="shared" si="49"/>
        <v/>
      </c>
      <c r="T69" s="302" t="str">
        <f t="shared" si="49"/>
        <v/>
      </c>
      <c r="U69" s="303">
        <f t="shared" si="40"/>
        <v>0</v>
      </c>
      <c r="V69" s="214">
        <f t="shared" si="50"/>
        <v>0</v>
      </c>
      <c r="W69" s="322">
        <f t="shared" si="36"/>
        <v>0</v>
      </c>
    </row>
    <row r="70" spans="1:23" x14ac:dyDescent="0.2">
      <c r="A70" s="1099"/>
      <c r="B70" s="140"/>
      <c r="C70" s="108"/>
      <c r="D70" s="95"/>
      <c r="E70" s="250"/>
      <c r="F70" s="251"/>
      <c r="H70" s="43" t="s">
        <v>267</v>
      </c>
      <c r="I70" s="302" t="str">
        <f t="shared" si="41"/>
        <v/>
      </c>
      <c r="J70" s="302" t="str">
        <f t="shared" si="42"/>
        <v/>
      </c>
      <c r="K70" s="302" t="str">
        <f t="shared" si="42"/>
        <v/>
      </c>
      <c r="L70" s="302" t="str">
        <f t="shared" si="43"/>
        <v/>
      </c>
      <c r="M70" s="302" t="str">
        <f t="shared" si="44"/>
        <v/>
      </c>
      <c r="N70" s="302" t="str">
        <f t="shared" si="45"/>
        <v/>
      </c>
      <c r="O70" s="302" t="str">
        <f t="shared" si="46"/>
        <v/>
      </c>
      <c r="P70" s="302" t="str">
        <f t="shared" si="47"/>
        <v/>
      </c>
      <c r="Q70" s="302" t="str">
        <f t="shared" si="47"/>
        <v/>
      </c>
      <c r="R70" s="302" t="str">
        <f t="shared" si="48"/>
        <v/>
      </c>
      <c r="S70" s="302" t="str">
        <f t="shared" si="49"/>
        <v/>
      </c>
      <c r="T70" s="302" t="str">
        <f t="shared" si="49"/>
        <v/>
      </c>
      <c r="U70" s="303">
        <f t="shared" si="40"/>
        <v>0</v>
      </c>
      <c r="V70" s="214">
        <f t="shared" si="50"/>
        <v>0</v>
      </c>
      <c r="W70" s="322">
        <f t="shared" si="36"/>
        <v>0</v>
      </c>
    </row>
    <row r="71" spans="1:23" x14ac:dyDescent="0.2">
      <c r="A71" s="1099"/>
      <c r="B71" s="140"/>
      <c r="C71" s="108"/>
      <c r="D71" s="95"/>
      <c r="E71" s="250"/>
      <c r="F71" s="251"/>
      <c r="H71" s="43" t="s">
        <v>267</v>
      </c>
      <c r="I71" s="302" t="str">
        <f t="shared" si="41"/>
        <v/>
      </c>
      <c r="J71" s="302" t="str">
        <f t="shared" si="42"/>
        <v/>
      </c>
      <c r="K71" s="302" t="str">
        <f t="shared" si="42"/>
        <v/>
      </c>
      <c r="L71" s="302" t="str">
        <f t="shared" si="43"/>
        <v/>
      </c>
      <c r="M71" s="302" t="str">
        <f t="shared" si="44"/>
        <v/>
      </c>
      <c r="N71" s="302" t="str">
        <f t="shared" si="45"/>
        <v/>
      </c>
      <c r="O71" s="302" t="str">
        <f t="shared" si="46"/>
        <v/>
      </c>
      <c r="P71" s="302" t="str">
        <f t="shared" si="47"/>
        <v/>
      </c>
      <c r="Q71" s="302" t="str">
        <f t="shared" si="47"/>
        <v/>
      </c>
      <c r="R71" s="302" t="str">
        <f t="shared" si="48"/>
        <v/>
      </c>
      <c r="S71" s="302" t="str">
        <f t="shared" si="49"/>
        <v/>
      </c>
      <c r="T71" s="302" t="str">
        <f t="shared" si="49"/>
        <v/>
      </c>
      <c r="U71" s="303">
        <f t="shared" si="40"/>
        <v>0</v>
      </c>
      <c r="V71" s="214">
        <f t="shared" si="50"/>
        <v>0</v>
      </c>
      <c r="W71" s="322">
        <f t="shared" si="36"/>
        <v>0</v>
      </c>
    </row>
    <row r="72" spans="1:23" x14ac:dyDescent="0.2">
      <c r="A72" s="1099"/>
      <c r="B72" s="140"/>
      <c r="C72" s="108"/>
      <c r="D72" s="95"/>
      <c r="E72" s="250"/>
      <c r="F72" s="251"/>
      <c r="H72" s="43" t="s">
        <v>267</v>
      </c>
      <c r="I72" s="302" t="str">
        <f t="shared" si="41"/>
        <v/>
      </c>
      <c r="J72" s="302" t="str">
        <f t="shared" si="42"/>
        <v/>
      </c>
      <c r="K72" s="302" t="str">
        <f t="shared" si="42"/>
        <v/>
      </c>
      <c r="L72" s="302" t="str">
        <f t="shared" si="43"/>
        <v/>
      </c>
      <c r="M72" s="302" t="str">
        <f t="shared" si="44"/>
        <v/>
      </c>
      <c r="N72" s="302" t="str">
        <f t="shared" si="45"/>
        <v/>
      </c>
      <c r="O72" s="302" t="str">
        <f t="shared" si="46"/>
        <v/>
      </c>
      <c r="P72" s="302" t="str">
        <f t="shared" si="47"/>
        <v/>
      </c>
      <c r="Q72" s="302" t="str">
        <f t="shared" si="47"/>
        <v/>
      </c>
      <c r="R72" s="302" t="str">
        <f t="shared" si="48"/>
        <v/>
      </c>
      <c r="S72" s="302" t="str">
        <f t="shared" si="49"/>
        <v/>
      </c>
      <c r="T72" s="302" t="str">
        <f t="shared" si="49"/>
        <v/>
      </c>
      <c r="U72" s="303">
        <f t="shared" si="40"/>
        <v>0</v>
      </c>
      <c r="V72" s="214">
        <f t="shared" si="50"/>
        <v>0</v>
      </c>
      <c r="W72" s="322">
        <f t="shared" si="36"/>
        <v>0</v>
      </c>
    </row>
    <row r="73" spans="1:23" x14ac:dyDescent="0.2">
      <c r="A73" s="1099"/>
      <c r="B73" s="152"/>
      <c r="C73" s="108"/>
      <c r="D73" s="417" t="s">
        <v>1071</v>
      </c>
      <c r="E73" s="250">
        <v>-5000</v>
      </c>
      <c r="F73" s="251"/>
      <c r="H73" s="43" t="s">
        <v>290</v>
      </c>
      <c r="I73" s="302">
        <f t="shared" si="41"/>
        <v>-416.66666666666669</v>
      </c>
      <c r="J73" s="302">
        <f t="shared" si="42"/>
        <v>-416.66666666666669</v>
      </c>
      <c r="K73" s="302">
        <f t="shared" si="42"/>
        <v>-416.66666666666669</v>
      </c>
      <c r="L73" s="302">
        <f t="shared" si="43"/>
        <v>-416.66666666666669</v>
      </c>
      <c r="M73" s="302">
        <f t="shared" si="44"/>
        <v>-416.66666666666669</v>
      </c>
      <c r="N73" s="302">
        <f t="shared" si="45"/>
        <v>-416.66666666666669</v>
      </c>
      <c r="O73" s="302">
        <f t="shared" si="46"/>
        <v>-416.66666666666669</v>
      </c>
      <c r="P73" s="302">
        <f t="shared" si="47"/>
        <v>-416.66666666666669</v>
      </c>
      <c r="Q73" s="302">
        <f t="shared" si="47"/>
        <v>-416.66666666666669</v>
      </c>
      <c r="R73" s="302">
        <f t="shared" si="48"/>
        <v>-416.66666666666669</v>
      </c>
      <c r="S73" s="302">
        <f t="shared" si="49"/>
        <v>-416.66666666666669</v>
      </c>
      <c r="T73" s="302">
        <f t="shared" si="49"/>
        <v>-416.66666666666669</v>
      </c>
      <c r="U73" s="303">
        <f t="shared" si="40"/>
        <v>-5000</v>
      </c>
      <c r="V73" s="214">
        <f t="shared" si="50"/>
        <v>0</v>
      </c>
      <c r="W73" s="322">
        <f t="shared" si="36"/>
        <v>0</v>
      </c>
    </row>
    <row r="74" spans="1:23" x14ac:dyDescent="0.2">
      <c r="A74" s="1099"/>
      <c r="B74" s="153">
        <v>8390</v>
      </c>
      <c r="C74" s="154" t="s">
        <v>594</v>
      </c>
      <c r="D74" s="313"/>
      <c r="E74" s="314"/>
      <c r="F74" s="251"/>
      <c r="H74" s="43" t="s">
        <v>267</v>
      </c>
      <c r="I74" s="302" t="str">
        <f t="shared" si="41"/>
        <v/>
      </c>
      <c r="J74" s="302" t="str">
        <f t="shared" si="42"/>
        <v/>
      </c>
      <c r="K74" s="302" t="str">
        <f t="shared" si="42"/>
        <v/>
      </c>
      <c r="L74" s="302" t="str">
        <f t="shared" si="43"/>
        <v/>
      </c>
      <c r="M74" s="302" t="str">
        <f t="shared" si="44"/>
        <v/>
      </c>
      <c r="N74" s="302" t="str">
        <f t="shared" si="45"/>
        <v/>
      </c>
      <c r="O74" s="302" t="str">
        <f t="shared" si="46"/>
        <v/>
      </c>
      <c r="P74" s="302" t="str">
        <f t="shared" si="47"/>
        <v/>
      </c>
      <c r="Q74" s="302" t="str">
        <f t="shared" si="47"/>
        <v/>
      </c>
      <c r="R74" s="302" t="str">
        <f t="shared" si="48"/>
        <v/>
      </c>
      <c r="S74" s="302" t="str">
        <f t="shared" si="49"/>
        <v/>
      </c>
      <c r="T74" s="302" t="str">
        <f t="shared" si="49"/>
        <v/>
      </c>
      <c r="U74" s="303">
        <f t="shared" si="40"/>
        <v>0</v>
      </c>
      <c r="V74" s="214">
        <f t="shared" si="50"/>
        <v>0</v>
      </c>
      <c r="W74" s="322">
        <f t="shared" si="36"/>
        <v>0</v>
      </c>
    </row>
    <row r="75" spans="1:23" ht="13.5" thickBot="1" x14ac:dyDescent="0.25">
      <c r="A75" s="1100"/>
      <c r="B75" s="142">
        <v>8387</v>
      </c>
      <c r="C75" s="144" t="s">
        <v>593</v>
      </c>
      <c r="D75" s="310"/>
      <c r="E75" s="309"/>
      <c r="F75" s="257">
        <f>SUM(E42:E75)</f>
        <v>53286</v>
      </c>
      <c r="H75" s="43" t="s">
        <v>267</v>
      </c>
      <c r="I75" s="302" t="str">
        <f t="shared" si="41"/>
        <v/>
      </c>
      <c r="J75" s="302" t="str">
        <f t="shared" si="42"/>
        <v/>
      </c>
      <c r="K75" s="302" t="str">
        <f t="shared" si="42"/>
        <v/>
      </c>
      <c r="L75" s="302" t="str">
        <f t="shared" si="43"/>
        <v/>
      </c>
      <c r="M75" s="302" t="str">
        <f t="shared" si="44"/>
        <v/>
      </c>
      <c r="N75" s="302" t="str">
        <f t="shared" si="45"/>
        <v/>
      </c>
      <c r="O75" s="302" t="str">
        <f t="shared" si="46"/>
        <v/>
      </c>
      <c r="P75" s="302" t="str">
        <f t="shared" si="47"/>
        <v/>
      </c>
      <c r="Q75" s="302" t="str">
        <f t="shared" si="47"/>
        <v/>
      </c>
      <c r="R75" s="302" t="str">
        <f t="shared" si="48"/>
        <v/>
      </c>
      <c r="S75" s="302" t="str">
        <f t="shared" si="49"/>
        <v/>
      </c>
      <c r="T75" s="302" t="str">
        <f t="shared" si="49"/>
        <v/>
      </c>
      <c r="U75" s="303">
        <f t="shared" si="40"/>
        <v>0</v>
      </c>
      <c r="V75" s="214">
        <f t="shared" si="50"/>
        <v>0</v>
      </c>
      <c r="W75" s="322">
        <f>ROUND(SUM(I75:T75)-U75,0)</f>
        <v>0</v>
      </c>
    </row>
    <row r="76" spans="1:23" ht="13.5" thickBot="1" x14ac:dyDescent="0.25">
      <c r="A76" s="41"/>
      <c r="B76" s="117"/>
      <c r="C76" s="101"/>
      <c r="D76" s="102"/>
      <c r="E76" s="259"/>
      <c r="F76" s="260"/>
      <c r="I76" s="306"/>
      <c r="J76" s="306"/>
      <c r="K76" s="306"/>
      <c r="L76" s="306"/>
      <c r="M76" s="306"/>
      <c r="N76" s="306"/>
      <c r="O76" s="306"/>
      <c r="P76" s="306"/>
      <c r="Q76" s="306"/>
      <c r="R76" s="306"/>
      <c r="S76" s="306"/>
      <c r="T76" s="306"/>
      <c r="U76" s="305"/>
      <c r="W76" s="322">
        <f t="shared" ref="W76:W138" si="51">ROUND(SUM(I76:T76)-U76,0)</f>
        <v>0</v>
      </c>
    </row>
    <row r="77" spans="1:23" x14ac:dyDescent="0.2">
      <c r="A77" s="1098" t="s">
        <v>449</v>
      </c>
      <c r="B77" s="136" t="s">
        <v>567</v>
      </c>
      <c r="C77" s="113" t="s">
        <v>450</v>
      </c>
      <c r="D77" s="93"/>
      <c r="E77" s="246"/>
      <c r="F77" s="247"/>
      <c r="H77" s="43" t="s">
        <v>267</v>
      </c>
      <c r="I77" s="302" t="str">
        <f>IF($H77="Monthly",$E77/12,IF($H77="Quarterly (From April)",$E77/4,IF($H77="Termly",$E77/3,IF($H77="Monthly (excl. August)",$E77/11,""))))</f>
        <v/>
      </c>
      <c r="J77" s="302" t="str">
        <f t="shared" ref="J77:K81" si="52">IF($H77="Monthly",$E77/12,IF($H77="Quarterly (From April)",0,IF($H77="Termly",0,IF($H77="Monthly (excl. August)",$E77/11,""))))</f>
        <v/>
      </c>
      <c r="K77" s="302" t="str">
        <f t="shared" si="52"/>
        <v/>
      </c>
      <c r="L77" s="302" t="str">
        <f>IF($H77="Monthly",$E77/12,IF($H77="Quarterly (From April)",$E77/4,IF($H77="Termly",0,IF($H77="Monthly (excl. August)",$E77/11,""))))</f>
        <v/>
      </c>
      <c r="M77" s="302" t="str">
        <f>IF($H77="Monthly",$E77/12,IF($H77="Quarterly (From April)",0,IF($H77="Termly",0,IF($H77="Monthly (excl. August)",0,""))))</f>
        <v/>
      </c>
      <c r="N77" s="302" t="str">
        <f>IF($H77="Monthly",$E77/12,IF($H77="Quarterly (From April)",0,IF($H77="Termly",$E77/3,IF($H77="Monthly (excl. August)",$E77/11,""))))</f>
        <v/>
      </c>
      <c r="O77" s="302" t="str">
        <f>IF($H77="Monthly",$E77/12,IF($H77="Quarterly (From April)",$E77/4,IF($H77="Termly",0,IF($H77="Monthly (excl. August)",$E77/11,""))))</f>
        <v/>
      </c>
      <c r="P77" s="302" t="str">
        <f t="shared" ref="P77:Q81" si="53">IF($H77="Monthly",$E77/12,IF($H77="Quarterly (From April)",0,IF($H77="Termly",0,IF($H77="Monthly (excl. August)",$E77/11,""))))</f>
        <v/>
      </c>
      <c r="Q77" s="302" t="str">
        <f t="shared" si="53"/>
        <v/>
      </c>
      <c r="R77" s="302" t="str">
        <f>IF($H77="Monthly",$E77/12,IF($H77="Quarterly (From April)",$E77/4,IF($H77="Termly",$E77/3,IF($H77="Monthly (excl. August)",$E77/11,""))))</f>
        <v/>
      </c>
      <c r="S77" s="302" t="str">
        <f t="shared" ref="S77:T81" si="54">IF($H77="Monthly",$E77/12,IF($H77="Quarterly (From April)",0,IF($H77="Termly",0,IF($H77="Monthly (excl. August)",$E77/11,""))))</f>
        <v/>
      </c>
      <c r="T77" s="302" t="str">
        <f t="shared" si="54"/>
        <v/>
      </c>
      <c r="U77" s="303">
        <f t="shared" si="40"/>
        <v>0</v>
      </c>
      <c r="V77" s="214">
        <f>IF(ROUND(SUM(I77:T77),0)&gt;U77,1,IF(ROUND(SUM(I77:T77),0)&lt;U77,1,0))</f>
        <v>0</v>
      </c>
      <c r="W77" s="322">
        <f t="shared" si="51"/>
        <v>0</v>
      </c>
    </row>
    <row r="78" spans="1:23" x14ac:dyDescent="0.2">
      <c r="A78" s="1099"/>
      <c r="B78" s="140" t="s">
        <v>568</v>
      </c>
      <c r="C78" s="108" t="s">
        <v>451</v>
      </c>
      <c r="D78" s="95"/>
      <c r="E78" s="250"/>
      <c r="F78" s="251"/>
      <c r="H78" s="43" t="s">
        <v>267</v>
      </c>
      <c r="I78" s="302" t="str">
        <f>IF($H78="Monthly",$E78/12,IF($H78="Quarterly (From April)",$E78/4,IF($H78="Termly",$E78/3,IF($H78="Monthly (excl. August)",$E78/11,""))))</f>
        <v/>
      </c>
      <c r="J78" s="302" t="str">
        <f t="shared" si="52"/>
        <v/>
      </c>
      <c r="K78" s="302" t="str">
        <f t="shared" si="52"/>
        <v/>
      </c>
      <c r="L78" s="302" t="str">
        <f>IF($H78="Monthly",$E78/12,IF($H78="Quarterly (From April)",$E78/4,IF($H78="Termly",0,IF($H78="Monthly (excl. August)",$E78/11,""))))</f>
        <v/>
      </c>
      <c r="M78" s="302" t="str">
        <f>IF($H78="Monthly",$E78/12,IF($H78="Quarterly (From April)",0,IF($H78="Termly",0,IF($H78="Monthly (excl. August)",0,""))))</f>
        <v/>
      </c>
      <c r="N78" s="302" t="str">
        <f>IF($H78="Monthly",$E78/12,IF($H78="Quarterly (From April)",0,IF($H78="Termly",$E78/3,IF($H78="Monthly (excl. August)",$E78/11,""))))</f>
        <v/>
      </c>
      <c r="O78" s="302" t="str">
        <f>IF($H78="Monthly",$E78/12,IF($H78="Quarterly (From April)",$E78/4,IF($H78="Termly",0,IF($H78="Monthly (excl. August)",$E78/11,""))))</f>
        <v/>
      </c>
      <c r="P78" s="302" t="str">
        <f t="shared" si="53"/>
        <v/>
      </c>
      <c r="Q78" s="302" t="str">
        <f t="shared" si="53"/>
        <v/>
      </c>
      <c r="R78" s="302" t="str">
        <f>IF($H78="Monthly",$E78/12,IF($H78="Quarterly (From April)",$E78/4,IF($H78="Termly",$E78/3,IF($H78="Monthly (excl. August)",$E78/11,""))))</f>
        <v/>
      </c>
      <c r="S78" s="302" t="str">
        <f t="shared" si="54"/>
        <v/>
      </c>
      <c r="T78" s="302" t="str">
        <f t="shared" si="54"/>
        <v/>
      </c>
      <c r="U78" s="303">
        <f t="shared" si="40"/>
        <v>0</v>
      </c>
      <c r="V78" s="214">
        <f>IF(ROUND(SUM(I78:T78),0)&gt;U78,1,IF(ROUND(SUM(I78:T78),0)&lt;U78,1,0))</f>
        <v>0</v>
      </c>
      <c r="W78" s="322">
        <f t="shared" si="51"/>
        <v>0</v>
      </c>
    </row>
    <row r="79" spans="1:23" x14ac:dyDescent="0.2">
      <c r="A79" s="1099"/>
      <c r="B79" s="140" t="s">
        <v>569</v>
      </c>
      <c r="C79" s="108" t="s">
        <v>452</v>
      </c>
      <c r="D79" s="95"/>
      <c r="E79" s="250"/>
      <c r="F79" s="251"/>
      <c r="H79" s="43" t="s">
        <v>267</v>
      </c>
      <c r="I79" s="302" t="str">
        <f>IF($H79="Monthly",$E79/12,IF($H79="Quarterly (From April)",$E79/4,IF($H79="Termly",$E79/3,IF($H79="Monthly (excl. August)",$E79/11,""))))</f>
        <v/>
      </c>
      <c r="J79" s="302" t="str">
        <f t="shared" si="52"/>
        <v/>
      </c>
      <c r="K79" s="302" t="str">
        <f t="shared" si="52"/>
        <v/>
      </c>
      <c r="L79" s="302" t="str">
        <f>IF($H79="Monthly",$E79/12,IF($H79="Quarterly (From April)",$E79/4,IF($H79="Termly",0,IF($H79="Monthly (excl. August)",$E79/11,""))))</f>
        <v/>
      </c>
      <c r="M79" s="302" t="str">
        <f>IF($H79="Monthly",$E79/12,IF($H79="Quarterly (From April)",0,IF($H79="Termly",0,IF($H79="Monthly (excl. August)",0,""))))</f>
        <v/>
      </c>
      <c r="N79" s="302" t="str">
        <f>IF($H79="Monthly",$E79/12,IF($H79="Quarterly (From April)",0,IF($H79="Termly",$E79/3,IF($H79="Monthly (excl. August)",$E79/11,""))))</f>
        <v/>
      </c>
      <c r="O79" s="302" t="str">
        <f>IF($H79="Monthly",$E79/12,IF($H79="Quarterly (From April)",$E79/4,IF($H79="Termly",0,IF($H79="Monthly (excl. August)",$E79/11,""))))</f>
        <v/>
      </c>
      <c r="P79" s="302" t="str">
        <f t="shared" si="53"/>
        <v/>
      </c>
      <c r="Q79" s="302" t="str">
        <f t="shared" si="53"/>
        <v/>
      </c>
      <c r="R79" s="302" t="str">
        <f>IF($H79="Monthly",$E79/12,IF($H79="Quarterly (From April)",$E79/4,IF($H79="Termly",$E79/3,IF($H79="Monthly (excl. August)",$E79/11,""))))</f>
        <v/>
      </c>
      <c r="S79" s="302" t="str">
        <f t="shared" si="54"/>
        <v/>
      </c>
      <c r="T79" s="302" t="str">
        <f t="shared" si="54"/>
        <v/>
      </c>
      <c r="U79" s="303">
        <f t="shared" si="40"/>
        <v>0</v>
      </c>
      <c r="V79" s="214">
        <f>IF(ROUND(SUM(I79:T79),0)&gt;U79,1,IF(ROUND(SUM(I79:T79),0)&lt;U79,1,0))</f>
        <v>0</v>
      </c>
      <c r="W79" s="322">
        <f t="shared" si="51"/>
        <v>0</v>
      </c>
    </row>
    <row r="80" spans="1:23" x14ac:dyDescent="0.2">
      <c r="A80" s="1099"/>
      <c r="B80" s="140" t="s">
        <v>566</v>
      </c>
      <c r="C80" s="108" t="s">
        <v>453</v>
      </c>
      <c r="D80" s="95"/>
      <c r="E80" s="250"/>
      <c r="F80" s="251"/>
      <c r="H80" s="43" t="s">
        <v>267</v>
      </c>
      <c r="I80" s="302" t="str">
        <f>IF($H80="Monthly",$E80/12,IF($H80="Quarterly (From April)",$E80/4,IF($H80="Termly",$E80/3,IF($H80="Monthly (excl. August)",$E80/11,""))))</f>
        <v/>
      </c>
      <c r="J80" s="302" t="str">
        <f t="shared" si="52"/>
        <v/>
      </c>
      <c r="K80" s="302" t="str">
        <f t="shared" si="52"/>
        <v/>
      </c>
      <c r="L80" s="302" t="str">
        <f>IF($H80="Monthly",$E80/12,IF($H80="Quarterly (From April)",$E80/4,IF($H80="Termly",0,IF($H80="Monthly (excl. August)",$E80/11,""))))</f>
        <v/>
      </c>
      <c r="M80" s="302" t="str">
        <f>IF($H80="Monthly",$E80/12,IF($H80="Quarterly (From April)",0,IF($H80="Termly",0,IF($H80="Monthly (excl. August)",0,""))))</f>
        <v/>
      </c>
      <c r="N80" s="302" t="str">
        <f>IF($H80="Monthly",$E80/12,IF($H80="Quarterly (From April)",0,IF($H80="Termly",$E80/3,IF($H80="Monthly (excl. August)",$E80/11,""))))</f>
        <v/>
      </c>
      <c r="O80" s="302" t="str">
        <f>IF($H80="Monthly",$E80/12,IF($H80="Quarterly (From April)",$E80/4,IF($H80="Termly",0,IF($H80="Monthly (excl. August)",$E80/11,""))))</f>
        <v/>
      </c>
      <c r="P80" s="302" t="str">
        <f t="shared" si="53"/>
        <v/>
      </c>
      <c r="Q80" s="302" t="str">
        <f t="shared" si="53"/>
        <v/>
      </c>
      <c r="R80" s="302" t="str">
        <f>IF($H80="Monthly",$E80/12,IF($H80="Quarterly (From April)",$E80/4,IF($H80="Termly",$E80/3,IF($H80="Monthly (excl. August)",$E80/11,""))))</f>
        <v/>
      </c>
      <c r="S80" s="302" t="str">
        <f t="shared" si="54"/>
        <v/>
      </c>
      <c r="T80" s="302" t="str">
        <f t="shared" si="54"/>
        <v/>
      </c>
      <c r="U80" s="303">
        <f t="shared" si="40"/>
        <v>0</v>
      </c>
      <c r="V80" s="214">
        <f>IF(ROUND(SUM(I80:T80),0)&gt;U80,1,IF(ROUND(SUM(I80:T80),0)&lt;U80,1,0))</f>
        <v>0</v>
      </c>
      <c r="W80" s="322">
        <f t="shared" si="51"/>
        <v>0</v>
      </c>
    </row>
    <row r="81" spans="1:23" ht="13.5" thickBot="1" x14ac:dyDescent="0.25">
      <c r="A81" s="1100"/>
      <c r="B81" s="155">
        <v>8387</v>
      </c>
      <c r="C81" s="144" t="s">
        <v>593</v>
      </c>
      <c r="D81" s="310"/>
      <c r="E81" s="309"/>
      <c r="F81" s="257">
        <f>SUM(E77:E81)</f>
        <v>0</v>
      </c>
      <c r="H81" s="43" t="s">
        <v>267</v>
      </c>
      <c r="I81" s="302" t="str">
        <f>IF($H81="Monthly",$E81/12,IF($H81="Quarterly (From April)",$E81/4,IF($H81="Termly",$E81/3,IF($H81="Monthly (excl. August)",$E81/11,""))))</f>
        <v/>
      </c>
      <c r="J81" s="302" t="str">
        <f t="shared" si="52"/>
        <v/>
      </c>
      <c r="K81" s="302" t="str">
        <f t="shared" si="52"/>
        <v/>
      </c>
      <c r="L81" s="302" t="str">
        <f>IF($H81="Monthly",$E81/12,IF($H81="Quarterly (From April)",$E81/4,IF($H81="Termly",0,IF($H81="Monthly (excl. August)",$E81/11,""))))</f>
        <v/>
      </c>
      <c r="M81" s="302" t="str">
        <f>IF($H81="Monthly",$E81/12,IF($H81="Quarterly (From April)",0,IF($H81="Termly",0,IF($H81="Monthly (excl. August)",0,""))))</f>
        <v/>
      </c>
      <c r="N81" s="302" t="str">
        <f>IF($H81="Monthly",$E81/12,IF($H81="Quarterly (From April)",0,IF($H81="Termly",$E81/3,IF($H81="Monthly (excl. August)",$E81/11,""))))</f>
        <v/>
      </c>
      <c r="O81" s="302" t="str">
        <f>IF($H81="Monthly",$E81/12,IF($H81="Quarterly (From April)",$E81/4,IF($H81="Termly",0,IF($H81="Monthly (excl. August)",$E81/11,""))))</f>
        <v/>
      </c>
      <c r="P81" s="302" t="str">
        <f t="shared" si="53"/>
        <v/>
      </c>
      <c r="Q81" s="302" t="str">
        <f t="shared" si="53"/>
        <v/>
      </c>
      <c r="R81" s="302" t="str">
        <f>IF($H81="Monthly",$E81/12,IF($H81="Quarterly (From April)",$E81/4,IF($H81="Termly",$E81/3,IF($H81="Monthly (excl. August)",$E81/11,""))))</f>
        <v/>
      </c>
      <c r="S81" s="302" t="str">
        <f t="shared" si="54"/>
        <v/>
      </c>
      <c r="T81" s="302" t="str">
        <f t="shared" si="54"/>
        <v/>
      </c>
      <c r="U81" s="303">
        <f t="shared" si="40"/>
        <v>0</v>
      </c>
      <c r="V81" s="214">
        <f>IF(ROUND(SUM(I81:T81),0)&gt;U81,1,IF(ROUND(SUM(I81:T81),0)&lt;U81,1,0))</f>
        <v>0</v>
      </c>
      <c r="W81" s="322">
        <f t="shared" si="51"/>
        <v>0</v>
      </c>
    </row>
    <row r="82" spans="1:23" ht="13.5" thickBot="1" x14ac:dyDescent="0.25">
      <c r="A82" s="8"/>
      <c r="B82" s="118"/>
      <c r="C82" s="106"/>
      <c r="D82" s="107"/>
      <c r="E82" s="267"/>
      <c r="F82" s="268"/>
      <c r="I82" s="306"/>
      <c r="J82" s="306"/>
      <c r="K82" s="306"/>
      <c r="L82" s="306"/>
      <c r="M82" s="306"/>
      <c r="N82" s="306"/>
      <c r="O82" s="306"/>
      <c r="P82" s="306"/>
      <c r="Q82" s="306"/>
      <c r="R82" s="306"/>
      <c r="S82" s="306"/>
      <c r="T82" s="306"/>
      <c r="U82" s="305"/>
      <c r="W82" s="322">
        <f t="shared" si="51"/>
        <v>0</v>
      </c>
    </row>
    <row r="83" spans="1:23" x14ac:dyDescent="0.2">
      <c r="A83" s="1098" t="s">
        <v>454</v>
      </c>
      <c r="B83" s="136" t="s">
        <v>732</v>
      </c>
      <c r="C83" s="113" t="s">
        <v>728</v>
      </c>
      <c r="D83" s="1005" t="s">
        <v>1028</v>
      </c>
      <c r="E83" s="246">
        <v>14535</v>
      </c>
      <c r="F83" s="247"/>
      <c r="H83" s="43" t="s">
        <v>290</v>
      </c>
      <c r="I83" s="302">
        <f t="shared" ref="I83:I94" si="55">IF($H83="Monthly",$E83/12,IF($H83="Quarterly (From April)",$E83/4,IF($H83="Termly",$E83/3,IF($H83="Monthly (excl. August)",$E83/11,""))))</f>
        <v>1211.25</v>
      </c>
      <c r="J83" s="302">
        <f t="shared" ref="J83:K94" si="56">IF($H83="Monthly",$E83/12,IF($H83="Quarterly (From April)",0,IF($H83="Termly",0,IF($H83="Monthly (excl. August)",$E83/11,""))))</f>
        <v>1211.25</v>
      </c>
      <c r="K83" s="302">
        <f t="shared" si="56"/>
        <v>1211.25</v>
      </c>
      <c r="L83" s="302">
        <f t="shared" ref="L83:L94" si="57">IF($H83="Monthly",$E83/12,IF($H83="Quarterly (From April)",$E83/4,IF($H83="Termly",0,IF($H83="Monthly (excl. August)",$E83/11,""))))</f>
        <v>1211.25</v>
      </c>
      <c r="M83" s="302">
        <f t="shared" ref="M83:M94" si="58">IF($H83="Monthly",$E83/12,IF($H83="Quarterly (From April)",0,IF($H83="Termly",0,IF($H83="Monthly (excl. August)",0,""))))</f>
        <v>1211.25</v>
      </c>
      <c r="N83" s="302">
        <f t="shared" ref="N83:N94" si="59">IF($H83="Monthly",$E83/12,IF($H83="Quarterly (From April)",0,IF($H83="Termly",$E83/3,IF($H83="Monthly (excl. August)",$E83/11,""))))</f>
        <v>1211.25</v>
      </c>
      <c r="O83" s="302">
        <f t="shared" ref="O83:O94" si="60">IF($H83="Monthly",$E83/12,IF($H83="Quarterly (From April)",$E83/4,IF($H83="Termly",0,IF($H83="Monthly (excl. August)",$E83/11,""))))</f>
        <v>1211.25</v>
      </c>
      <c r="P83" s="302">
        <f t="shared" ref="P83:Q94" si="61">IF($H83="Monthly",$E83/12,IF($H83="Quarterly (From April)",0,IF($H83="Termly",0,IF($H83="Monthly (excl. August)",$E83/11,""))))</f>
        <v>1211.25</v>
      </c>
      <c r="Q83" s="302">
        <f t="shared" si="61"/>
        <v>1211.25</v>
      </c>
      <c r="R83" s="302">
        <f t="shared" ref="R83:R94" si="62">IF($H83="Monthly",$E83/12,IF($H83="Quarterly (From April)",$E83/4,IF($H83="Termly",$E83/3,IF($H83="Monthly (excl. August)",$E83/11,""))))</f>
        <v>1211.25</v>
      </c>
      <c r="S83" s="302">
        <f t="shared" ref="S83:T94" si="63">IF($H83="Monthly",$E83/12,IF($H83="Quarterly (From April)",0,IF($H83="Termly",0,IF($H83="Monthly (excl. August)",$E83/11,""))))</f>
        <v>1211.25</v>
      </c>
      <c r="T83" s="302">
        <f t="shared" si="63"/>
        <v>1211.25</v>
      </c>
      <c r="U83" s="303">
        <f t="shared" si="40"/>
        <v>14535</v>
      </c>
      <c r="V83" s="214">
        <f t="shared" ref="V83:V94" si="64">IF(ROUND(SUM(I83:T83),0)&gt;U83,1,IF(ROUND(SUM(I83:T83),0)&lt;U83,1,0))</f>
        <v>0</v>
      </c>
      <c r="W83" s="322">
        <f t="shared" si="51"/>
        <v>0</v>
      </c>
    </row>
    <row r="84" spans="1:23" x14ac:dyDescent="0.2">
      <c r="A84" s="1099"/>
      <c r="B84" s="140" t="s">
        <v>734</v>
      </c>
      <c r="C84" s="108" t="s">
        <v>730</v>
      </c>
      <c r="D84" s="95"/>
      <c r="E84" s="250"/>
      <c r="F84" s="251"/>
      <c r="H84" s="43" t="s">
        <v>267</v>
      </c>
      <c r="I84" s="302" t="str">
        <f t="shared" si="55"/>
        <v/>
      </c>
      <c r="J84" s="302" t="str">
        <f t="shared" si="56"/>
        <v/>
      </c>
      <c r="K84" s="302" t="str">
        <f t="shared" si="56"/>
        <v/>
      </c>
      <c r="L84" s="302" t="str">
        <f t="shared" si="57"/>
        <v/>
      </c>
      <c r="M84" s="302" t="str">
        <f t="shared" si="58"/>
        <v/>
      </c>
      <c r="N84" s="302" t="str">
        <f t="shared" si="59"/>
        <v/>
      </c>
      <c r="O84" s="302" t="str">
        <f t="shared" si="60"/>
        <v/>
      </c>
      <c r="P84" s="302" t="str">
        <f t="shared" si="61"/>
        <v/>
      </c>
      <c r="Q84" s="302" t="str">
        <f t="shared" si="61"/>
        <v/>
      </c>
      <c r="R84" s="302" t="str">
        <f t="shared" si="62"/>
        <v/>
      </c>
      <c r="S84" s="302" t="str">
        <f t="shared" si="63"/>
        <v/>
      </c>
      <c r="T84" s="302" t="str">
        <f t="shared" si="63"/>
        <v/>
      </c>
      <c r="U84" s="303">
        <f t="shared" si="40"/>
        <v>0</v>
      </c>
      <c r="V84" s="214">
        <f t="shared" si="64"/>
        <v>0</v>
      </c>
      <c r="W84" s="322">
        <f t="shared" si="51"/>
        <v>0</v>
      </c>
    </row>
    <row r="85" spans="1:23" x14ac:dyDescent="0.2">
      <c r="A85" s="1099"/>
      <c r="B85" s="140" t="s">
        <v>733</v>
      </c>
      <c r="C85" s="108" t="s">
        <v>729</v>
      </c>
      <c r="D85" s="417"/>
      <c r="E85" s="250"/>
      <c r="F85" s="251"/>
      <c r="H85" s="43" t="s">
        <v>267</v>
      </c>
      <c r="I85" s="302" t="str">
        <f t="shared" si="55"/>
        <v/>
      </c>
      <c r="J85" s="302" t="str">
        <f t="shared" si="56"/>
        <v/>
      </c>
      <c r="K85" s="302" t="str">
        <f t="shared" si="56"/>
        <v/>
      </c>
      <c r="L85" s="302" t="str">
        <f t="shared" si="57"/>
        <v/>
      </c>
      <c r="M85" s="302" t="str">
        <f t="shared" si="58"/>
        <v/>
      </c>
      <c r="N85" s="302" t="str">
        <f t="shared" si="59"/>
        <v/>
      </c>
      <c r="O85" s="302" t="str">
        <f t="shared" si="60"/>
        <v/>
      </c>
      <c r="P85" s="302" t="str">
        <f t="shared" si="61"/>
        <v/>
      </c>
      <c r="Q85" s="302" t="str">
        <f t="shared" si="61"/>
        <v/>
      </c>
      <c r="R85" s="302" t="str">
        <f t="shared" si="62"/>
        <v/>
      </c>
      <c r="S85" s="302" t="str">
        <f t="shared" si="63"/>
        <v/>
      </c>
      <c r="T85" s="302" t="str">
        <f t="shared" si="63"/>
        <v/>
      </c>
      <c r="U85" s="303">
        <f t="shared" si="40"/>
        <v>0</v>
      </c>
      <c r="V85" s="214">
        <f t="shared" si="64"/>
        <v>0</v>
      </c>
      <c r="W85" s="322">
        <f t="shared" si="51"/>
        <v>0</v>
      </c>
    </row>
    <row r="86" spans="1:23" x14ac:dyDescent="0.2">
      <c r="A86" s="1099"/>
      <c r="B86" s="140" t="s">
        <v>735</v>
      </c>
      <c r="C86" s="108" t="s">
        <v>731</v>
      </c>
      <c r="D86" s="95"/>
      <c r="E86" s="250"/>
      <c r="F86" s="251"/>
      <c r="H86" s="43" t="s">
        <v>267</v>
      </c>
      <c r="I86" s="302" t="str">
        <f t="shared" si="55"/>
        <v/>
      </c>
      <c r="J86" s="302" t="str">
        <f t="shared" si="56"/>
        <v/>
      </c>
      <c r="K86" s="302" t="str">
        <f t="shared" si="56"/>
        <v/>
      </c>
      <c r="L86" s="302" t="str">
        <f t="shared" si="57"/>
        <v/>
      </c>
      <c r="M86" s="302" t="str">
        <f t="shared" si="58"/>
        <v/>
      </c>
      <c r="N86" s="302" t="str">
        <f t="shared" si="59"/>
        <v/>
      </c>
      <c r="O86" s="302" t="str">
        <f t="shared" si="60"/>
        <v/>
      </c>
      <c r="P86" s="302" t="str">
        <f t="shared" si="61"/>
        <v/>
      </c>
      <c r="Q86" s="302" t="str">
        <f t="shared" si="61"/>
        <v/>
      </c>
      <c r="R86" s="302" t="str">
        <f t="shared" si="62"/>
        <v/>
      </c>
      <c r="S86" s="302" t="str">
        <f t="shared" si="63"/>
        <v/>
      </c>
      <c r="T86" s="302" t="str">
        <f t="shared" si="63"/>
        <v/>
      </c>
      <c r="U86" s="303">
        <f t="shared" si="40"/>
        <v>0</v>
      </c>
      <c r="V86" s="214">
        <f t="shared" si="64"/>
        <v>0</v>
      </c>
      <c r="W86" s="322">
        <f t="shared" si="51"/>
        <v>0</v>
      </c>
    </row>
    <row r="87" spans="1:23" x14ac:dyDescent="0.2">
      <c r="A87" s="1099"/>
      <c r="B87" s="140" t="s">
        <v>570</v>
      </c>
      <c r="C87" s="108" t="s">
        <v>455</v>
      </c>
      <c r="D87" s="95"/>
      <c r="E87" s="250"/>
      <c r="F87" s="251"/>
      <c r="H87" s="43" t="s">
        <v>267</v>
      </c>
      <c r="I87" s="302" t="str">
        <f t="shared" si="55"/>
        <v/>
      </c>
      <c r="J87" s="302" t="str">
        <f t="shared" si="56"/>
        <v/>
      </c>
      <c r="K87" s="302" t="str">
        <f t="shared" si="56"/>
        <v/>
      </c>
      <c r="L87" s="302" t="str">
        <f t="shared" si="57"/>
        <v/>
      </c>
      <c r="M87" s="302" t="str">
        <f t="shared" si="58"/>
        <v/>
      </c>
      <c r="N87" s="302" t="str">
        <f t="shared" si="59"/>
        <v/>
      </c>
      <c r="O87" s="302" t="str">
        <f t="shared" si="60"/>
        <v/>
      </c>
      <c r="P87" s="302" t="str">
        <f t="shared" si="61"/>
        <v/>
      </c>
      <c r="Q87" s="302" t="str">
        <f t="shared" si="61"/>
        <v/>
      </c>
      <c r="R87" s="302" t="str">
        <f t="shared" si="62"/>
        <v/>
      </c>
      <c r="S87" s="302" t="str">
        <f t="shared" si="63"/>
        <v/>
      </c>
      <c r="T87" s="302" t="str">
        <f t="shared" si="63"/>
        <v/>
      </c>
      <c r="U87" s="303">
        <f t="shared" si="40"/>
        <v>0</v>
      </c>
      <c r="V87" s="214">
        <f t="shared" si="64"/>
        <v>0</v>
      </c>
      <c r="W87" s="322">
        <f t="shared" si="51"/>
        <v>0</v>
      </c>
    </row>
    <row r="88" spans="1:23" x14ac:dyDescent="0.2">
      <c r="A88" s="1099"/>
      <c r="B88" s="140" t="s">
        <v>573</v>
      </c>
      <c r="C88" s="108" t="s">
        <v>458</v>
      </c>
      <c r="D88" s="95"/>
      <c r="E88" s="250"/>
      <c r="F88" s="251"/>
      <c r="H88" s="43" t="s">
        <v>267</v>
      </c>
      <c r="I88" s="302" t="str">
        <f t="shared" si="55"/>
        <v/>
      </c>
      <c r="J88" s="302" t="str">
        <f t="shared" si="56"/>
        <v/>
      </c>
      <c r="K88" s="302" t="str">
        <f t="shared" si="56"/>
        <v/>
      </c>
      <c r="L88" s="302" t="str">
        <f t="shared" si="57"/>
        <v/>
      </c>
      <c r="M88" s="302" t="str">
        <f t="shared" si="58"/>
        <v/>
      </c>
      <c r="N88" s="302" t="str">
        <f t="shared" si="59"/>
        <v/>
      </c>
      <c r="O88" s="302" t="str">
        <f t="shared" si="60"/>
        <v/>
      </c>
      <c r="P88" s="302" t="str">
        <f t="shared" si="61"/>
        <v/>
      </c>
      <c r="Q88" s="302" t="str">
        <f t="shared" si="61"/>
        <v/>
      </c>
      <c r="R88" s="302" t="str">
        <f t="shared" si="62"/>
        <v/>
      </c>
      <c r="S88" s="302" t="str">
        <f t="shared" si="63"/>
        <v/>
      </c>
      <c r="T88" s="302" t="str">
        <f t="shared" si="63"/>
        <v/>
      </c>
      <c r="U88" s="303">
        <f t="shared" si="40"/>
        <v>0</v>
      </c>
      <c r="V88" s="214">
        <f t="shared" si="64"/>
        <v>0</v>
      </c>
      <c r="W88" s="322">
        <f t="shared" si="51"/>
        <v>0</v>
      </c>
    </row>
    <row r="89" spans="1:23" x14ac:dyDescent="0.2">
      <c r="A89" s="1099"/>
      <c r="B89" s="140" t="s">
        <v>575</v>
      </c>
      <c r="C89" s="108" t="s">
        <v>460</v>
      </c>
      <c r="D89" s="95"/>
      <c r="E89" s="250"/>
      <c r="F89" s="251"/>
      <c r="H89" s="43" t="s">
        <v>267</v>
      </c>
      <c r="I89" s="302" t="str">
        <f t="shared" si="55"/>
        <v/>
      </c>
      <c r="J89" s="302" t="str">
        <f t="shared" si="56"/>
        <v/>
      </c>
      <c r="K89" s="302" t="str">
        <f t="shared" si="56"/>
        <v/>
      </c>
      <c r="L89" s="302" t="str">
        <f t="shared" si="57"/>
        <v/>
      </c>
      <c r="M89" s="302" t="str">
        <f t="shared" si="58"/>
        <v/>
      </c>
      <c r="N89" s="302" t="str">
        <f t="shared" si="59"/>
        <v/>
      </c>
      <c r="O89" s="302" t="str">
        <f t="shared" si="60"/>
        <v/>
      </c>
      <c r="P89" s="302" t="str">
        <f t="shared" si="61"/>
        <v/>
      </c>
      <c r="Q89" s="302" t="str">
        <f t="shared" si="61"/>
        <v/>
      </c>
      <c r="R89" s="302" t="str">
        <f t="shared" si="62"/>
        <v/>
      </c>
      <c r="S89" s="302" t="str">
        <f t="shared" si="63"/>
        <v/>
      </c>
      <c r="T89" s="302" t="str">
        <f t="shared" si="63"/>
        <v/>
      </c>
      <c r="U89" s="303">
        <f t="shared" si="40"/>
        <v>0</v>
      </c>
      <c r="V89" s="214">
        <f t="shared" si="64"/>
        <v>0</v>
      </c>
      <c r="W89" s="322">
        <f t="shared" si="51"/>
        <v>0</v>
      </c>
    </row>
    <row r="90" spans="1:23" x14ac:dyDescent="0.2">
      <c r="A90" s="1099"/>
      <c r="B90" s="140" t="s">
        <v>571</v>
      </c>
      <c r="C90" s="108" t="s">
        <v>456</v>
      </c>
      <c r="D90" s="95"/>
      <c r="E90" s="250"/>
      <c r="F90" s="251"/>
      <c r="H90" s="43" t="s">
        <v>267</v>
      </c>
      <c r="I90" s="302" t="str">
        <f t="shared" si="55"/>
        <v/>
      </c>
      <c r="J90" s="302" t="str">
        <f t="shared" si="56"/>
        <v/>
      </c>
      <c r="K90" s="302" t="str">
        <f t="shared" si="56"/>
        <v/>
      </c>
      <c r="L90" s="302" t="str">
        <f t="shared" si="57"/>
        <v/>
      </c>
      <c r="M90" s="302" t="str">
        <f t="shared" si="58"/>
        <v/>
      </c>
      <c r="N90" s="302" t="str">
        <f t="shared" si="59"/>
        <v/>
      </c>
      <c r="O90" s="302" t="str">
        <f t="shared" si="60"/>
        <v/>
      </c>
      <c r="P90" s="302" t="str">
        <f t="shared" si="61"/>
        <v/>
      </c>
      <c r="Q90" s="302" t="str">
        <f t="shared" si="61"/>
        <v/>
      </c>
      <c r="R90" s="302" t="str">
        <f t="shared" si="62"/>
        <v/>
      </c>
      <c r="S90" s="302" t="str">
        <f t="shared" si="63"/>
        <v/>
      </c>
      <c r="T90" s="302" t="str">
        <f t="shared" si="63"/>
        <v/>
      </c>
      <c r="U90" s="303">
        <f t="shared" si="40"/>
        <v>0</v>
      </c>
      <c r="V90" s="214">
        <f t="shared" si="64"/>
        <v>0</v>
      </c>
      <c r="W90" s="322">
        <f t="shared" si="51"/>
        <v>0</v>
      </c>
    </row>
    <row r="91" spans="1:23" x14ac:dyDescent="0.2">
      <c r="A91" s="1099"/>
      <c r="B91" s="140" t="s">
        <v>572</v>
      </c>
      <c r="C91" s="108" t="s">
        <v>457</v>
      </c>
      <c r="D91" s="417"/>
      <c r="E91" s="250"/>
      <c r="F91" s="251"/>
      <c r="H91" s="43" t="s">
        <v>267</v>
      </c>
      <c r="I91" s="302" t="str">
        <f t="shared" si="55"/>
        <v/>
      </c>
      <c r="J91" s="302" t="str">
        <f t="shared" si="56"/>
        <v/>
      </c>
      <c r="K91" s="302" t="str">
        <f t="shared" si="56"/>
        <v/>
      </c>
      <c r="L91" s="302" t="str">
        <f t="shared" si="57"/>
        <v/>
      </c>
      <c r="M91" s="302" t="str">
        <f t="shared" si="58"/>
        <v/>
      </c>
      <c r="N91" s="302" t="str">
        <f t="shared" si="59"/>
        <v/>
      </c>
      <c r="O91" s="302" t="str">
        <f t="shared" si="60"/>
        <v/>
      </c>
      <c r="P91" s="302" t="str">
        <f t="shared" si="61"/>
        <v/>
      </c>
      <c r="Q91" s="302" t="str">
        <f t="shared" si="61"/>
        <v/>
      </c>
      <c r="R91" s="302" t="str">
        <f t="shared" si="62"/>
        <v/>
      </c>
      <c r="S91" s="302" t="str">
        <f t="shared" si="63"/>
        <v/>
      </c>
      <c r="T91" s="302" t="str">
        <f t="shared" si="63"/>
        <v/>
      </c>
      <c r="U91" s="303">
        <f t="shared" si="40"/>
        <v>0</v>
      </c>
      <c r="V91" s="214">
        <f t="shared" si="64"/>
        <v>0</v>
      </c>
      <c r="W91" s="322">
        <f t="shared" si="51"/>
        <v>0</v>
      </c>
    </row>
    <row r="92" spans="1:23" x14ac:dyDescent="0.2">
      <c r="A92" s="1099"/>
      <c r="B92" s="140" t="s">
        <v>574</v>
      </c>
      <c r="C92" s="108" t="s">
        <v>459</v>
      </c>
      <c r="D92" s="95"/>
      <c r="E92" s="250"/>
      <c r="F92" s="251"/>
      <c r="H92" s="43" t="s">
        <v>267</v>
      </c>
      <c r="I92" s="302" t="str">
        <f t="shared" si="55"/>
        <v/>
      </c>
      <c r="J92" s="302" t="str">
        <f t="shared" si="56"/>
        <v/>
      </c>
      <c r="K92" s="302" t="str">
        <f t="shared" si="56"/>
        <v/>
      </c>
      <c r="L92" s="302" t="str">
        <f t="shared" si="57"/>
        <v/>
      </c>
      <c r="M92" s="302" t="str">
        <f t="shared" si="58"/>
        <v/>
      </c>
      <c r="N92" s="302" t="str">
        <f t="shared" si="59"/>
        <v/>
      </c>
      <c r="O92" s="302" t="str">
        <f t="shared" si="60"/>
        <v/>
      </c>
      <c r="P92" s="302" t="str">
        <f t="shared" si="61"/>
        <v/>
      </c>
      <c r="Q92" s="302" t="str">
        <f t="shared" si="61"/>
        <v/>
      </c>
      <c r="R92" s="302" t="str">
        <f t="shared" si="62"/>
        <v/>
      </c>
      <c r="S92" s="302" t="str">
        <f t="shared" si="63"/>
        <v/>
      </c>
      <c r="T92" s="302" t="str">
        <f t="shared" si="63"/>
        <v/>
      </c>
      <c r="U92" s="303">
        <f t="shared" si="40"/>
        <v>0</v>
      </c>
      <c r="V92" s="214">
        <f t="shared" si="64"/>
        <v>0</v>
      </c>
      <c r="W92" s="322">
        <f t="shared" si="51"/>
        <v>0</v>
      </c>
    </row>
    <row r="93" spans="1:23" x14ac:dyDescent="0.2">
      <c r="A93" s="1099"/>
      <c r="B93" s="140" t="s">
        <v>576</v>
      </c>
      <c r="C93" s="108" t="s">
        <v>461</v>
      </c>
      <c r="D93" s="95"/>
      <c r="E93" s="250"/>
      <c r="F93" s="251"/>
      <c r="H93" s="43" t="s">
        <v>267</v>
      </c>
      <c r="I93" s="302" t="str">
        <f t="shared" si="55"/>
        <v/>
      </c>
      <c r="J93" s="302" t="str">
        <f t="shared" si="56"/>
        <v/>
      </c>
      <c r="K93" s="302" t="str">
        <f t="shared" si="56"/>
        <v/>
      </c>
      <c r="L93" s="302" t="str">
        <f t="shared" si="57"/>
        <v/>
      </c>
      <c r="M93" s="302" t="str">
        <f t="shared" si="58"/>
        <v/>
      </c>
      <c r="N93" s="302" t="str">
        <f t="shared" si="59"/>
        <v/>
      </c>
      <c r="O93" s="302" t="str">
        <f t="shared" si="60"/>
        <v/>
      </c>
      <c r="P93" s="302" t="str">
        <f t="shared" si="61"/>
        <v/>
      </c>
      <c r="Q93" s="302" t="str">
        <f t="shared" si="61"/>
        <v/>
      </c>
      <c r="R93" s="302" t="str">
        <f t="shared" si="62"/>
        <v/>
      </c>
      <c r="S93" s="302" t="str">
        <f t="shared" si="63"/>
        <v/>
      </c>
      <c r="T93" s="302" t="str">
        <f t="shared" si="63"/>
        <v/>
      </c>
      <c r="U93" s="303">
        <f t="shared" si="40"/>
        <v>0</v>
      </c>
      <c r="V93" s="214">
        <f t="shared" si="64"/>
        <v>0</v>
      </c>
      <c r="W93" s="322">
        <f t="shared" si="51"/>
        <v>0</v>
      </c>
    </row>
    <row r="94" spans="1:23" ht="13.5" thickBot="1" x14ac:dyDescent="0.25">
      <c r="A94" s="1100"/>
      <c r="B94" s="142">
        <v>8390</v>
      </c>
      <c r="C94" s="144" t="s">
        <v>594</v>
      </c>
      <c r="D94" s="310"/>
      <c r="E94" s="309"/>
      <c r="F94" s="257">
        <f>SUM(E83:E94)</f>
        <v>14535</v>
      </c>
      <c r="H94" s="43" t="s">
        <v>267</v>
      </c>
      <c r="I94" s="302" t="str">
        <f t="shared" si="55"/>
        <v/>
      </c>
      <c r="J94" s="302" t="str">
        <f t="shared" si="56"/>
        <v/>
      </c>
      <c r="K94" s="302" t="str">
        <f t="shared" si="56"/>
        <v/>
      </c>
      <c r="L94" s="302" t="str">
        <f t="shared" si="57"/>
        <v/>
      </c>
      <c r="M94" s="302" t="str">
        <f t="shared" si="58"/>
        <v/>
      </c>
      <c r="N94" s="302" t="str">
        <f t="shared" si="59"/>
        <v/>
      </c>
      <c r="O94" s="302" t="str">
        <f t="shared" si="60"/>
        <v/>
      </c>
      <c r="P94" s="302" t="str">
        <f t="shared" si="61"/>
        <v/>
      </c>
      <c r="Q94" s="302" t="str">
        <f t="shared" si="61"/>
        <v/>
      </c>
      <c r="R94" s="302" t="str">
        <f t="shared" si="62"/>
        <v/>
      </c>
      <c r="S94" s="302" t="str">
        <f t="shared" si="63"/>
        <v/>
      </c>
      <c r="T94" s="302" t="str">
        <f t="shared" si="63"/>
        <v/>
      </c>
      <c r="U94" s="303">
        <f t="shared" si="40"/>
        <v>0</v>
      </c>
      <c r="V94" s="214">
        <f t="shared" si="64"/>
        <v>0</v>
      </c>
      <c r="W94" s="322">
        <f t="shared" si="51"/>
        <v>0</v>
      </c>
    </row>
    <row r="95" spans="1:23" ht="13.5" thickBot="1" x14ac:dyDescent="0.25">
      <c r="A95" s="8"/>
      <c r="B95" s="118"/>
      <c r="C95" s="106"/>
      <c r="D95" s="107"/>
      <c r="E95" s="267"/>
      <c r="F95" s="268"/>
      <c r="I95" s="306"/>
      <c r="J95" s="306"/>
      <c r="K95" s="306"/>
      <c r="L95" s="306"/>
      <c r="M95" s="306"/>
      <c r="N95" s="306"/>
      <c r="O95" s="306"/>
      <c r="P95" s="306"/>
      <c r="Q95" s="306"/>
      <c r="R95" s="306"/>
      <c r="S95" s="306"/>
      <c r="T95" s="306"/>
      <c r="U95" s="305"/>
      <c r="W95" s="322">
        <f t="shared" si="51"/>
        <v>0</v>
      </c>
    </row>
    <row r="96" spans="1:23" x14ac:dyDescent="0.2">
      <c r="A96" s="1098" t="s">
        <v>462</v>
      </c>
      <c r="B96" s="136" t="s">
        <v>577</v>
      </c>
      <c r="C96" s="113" t="s">
        <v>736</v>
      </c>
      <c r="D96" s="1005" t="s">
        <v>1028</v>
      </c>
      <c r="E96" s="246">
        <v>7538</v>
      </c>
      <c r="F96" s="247"/>
      <c r="H96" s="43" t="s">
        <v>290</v>
      </c>
      <c r="I96" s="302">
        <f t="shared" ref="I96:I104" si="65">IF($H96="Monthly",$E96/12,IF($H96="Quarterly (From April)",$E96/4,IF($H96="Termly",$E96/3,IF($H96="Monthly (excl. August)",$E96/11,""))))</f>
        <v>628.16666666666663</v>
      </c>
      <c r="J96" s="302">
        <f t="shared" ref="J96:K104" si="66">IF($H96="Monthly",$E96/12,IF($H96="Quarterly (From April)",0,IF($H96="Termly",0,IF($H96="Monthly (excl. August)",$E96/11,""))))</f>
        <v>628.16666666666663</v>
      </c>
      <c r="K96" s="302">
        <f t="shared" si="66"/>
        <v>628.16666666666663</v>
      </c>
      <c r="L96" s="302">
        <f t="shared" ref="L96:L104" si="67">IF($H96="Monthly",$E96/12,IF($H96="Quarterly (From April)",$E96/4,IF($H96="Termly",0,IF($H96="Monthly (excl. August)",$E96/11,""))))</f>
        <v>628.16666666666663</v>
      </c>
      <c r="M96" s="302">
        <f t="shared" ref="M96:M104" si="68">IF($H96="Monthly",$E96/12,IF($H96="Quarterly (From April)",0,IF($H96="Termly",0,IF($H96="Monthly (excl. August)",0,""))))</f>
        <v>628.16666666666663</v>
      </c>
      <c r="N96" s="302">
        <f t="shared" ref="N96:N104" si="69">IF($H96="Monthly",$E96/12,IF($H96="Quarterly (From April)",0,IF($H96="Termly",$E96/3,IF($H96="Monthly (excl. August)",$E96/11,""))))</f>
        <v>628.16666666666663</v>
      </c>
      <c r="O96" s="302">
        <f t="shared" ref="O96:O104" si="70">IF($H96="Monthly",$E96/12,IF($H96="Quarterly (From April)",$E96/4,IF($H96="Termly",0,IF($H96="Monthly (excl. August)",$E96/11,""))))</f>
        <v>628.16666666666663</v>
      </c>
      <c r="P96" s="302">
        <f t="shared" ref="P96:Q104" si="71">IF($H96="Monthly",$E96/12,IF($H96="Quarterly (From April)",0,IF($H96="Termly",0,IF($H96="Monthly (excl. August)",$E96/11,""))))</f>
        <v>628.16666666666663</v>
      </c>
      <c r="Q96" s="302">
        <f t="shared" si="71"/>
        <v>628.16666666666663</v>
      </c>
      <c r="R96" s="302">
        <f t="shared" ref="R96:R104" si="72">IF($H96="Monthly",$E96/12,IF($H96="Quarterly (From April)",$E96/4,IF($H96="Termly",$E96/3,IF($H96="Monthly (excl. August)",$E96/11,""))))</f>
        <v>628.16666666666663</v>
      </c>
      <c r="S96" s="302">
        <f t="shared" ref="S96:T104" si="73">IF($H96="Monthly",$E96/12,IF($H96="Quarterly (From April)",0,IF($H96="Termly",0,IF($H96="Monthly (excl. August)",$E96/11,""))))</f>
        <v>628.16666666666663</v>
      </c>
      <c r="T96" s="302">
        <f t="shared" si="73"/>
        <v>628.16666666666663</v>
      </c>
      <c r="U96" s="303">
        <f t="shared" si="40"/>
        <v>7538</v>
      </c>
      <c r="V96" s="214">
        <f t="shared" ref="V96:V104" si="74">IF(ROUND(SUM(I96:T96),0)&gt;U96,1,IF(ROUND(SUM(I96:T96),0)&lt;U96,1,0))</f>
        <v>0</v>
      </c>
      <c r="W96" s="322">
        <f t="shared" si="51"/>
        <v>0</v>
      </c>
    </row>
    <row r="97" spans="1:23" x14ac:dyDescent="0.2">
      <c r="A97" s="1099"/>
      <c r="B97" s="140" t="s">
        <v>638</v>
      </c>
      <c r="C97" s="108" t="s">
        <v>738</v>
      </c>
      <c r="D97" s="417"/>
      <c r="E97" s="250"/>
      <c r="F97" s="251"/>
      <c r="H97" s="43" t="s">
        <v>267</v>
      </c>
      <c r="I97" s="302" t="str">
        <f t="shared" si="65"/>
        <v/>
      </c>
      <c r="J97" s="302" t="str">
        <f t="shared" si="66"/>
        <v/>
      </c>
      <c r="K97" s="302" t="str">
        <f t="shared" si="66"/>
        <v/>
      </c>
      <c r="L97" s="302" t="str">
        <f t="shared" si="67"/>
        <v/>
      </c>
      <c r="M97" s="302" t="str">
        <f t="shared" si="68"/>
        <v/>
      </c>
      <c r="N97" s="302" t="str">
        <f t="shared" si="69"/>
        <v/>
      </c>
      <c r="O97" s="302" t="str">
        <f t="shared" si="70"/>
        <v/>
      </c>
      <c r="P97" s="302" t="str">
        <f t="shared" si="71"/>
        <v/>
      </c>
      <c r="Q97" s="302" t="str">
        <f t="shared" si="71"/>
        <v/>
      </c>
      <c r="R97" s="302" t="str">
        <f t="shared" si="72"/>
        <v/>
      </c>
      <c r="S97" s="302" t="str">
        <f t="shared" si="73"/>
        <v/>
      </c>
      <c r="T97" s="302" t="str">
        <f t="shared" si="73"/>
        <v/>
      </c>
      <c r="U97" s="303">
        <f t="shared" si="40"/>
        <v>0</v>
      </c>
      <c r="V97" s="214">
        <f t="shared" si="74"/>
        <v>0</v>
      </c>
      <c r="W97" s="322">
        <f t="shared" si="51"/>
        <v>0</v>
      </c>
    </row>
    <row r="98" spans="1:23" x14ac:dyDescent="0.2">
      <c r="A98" s="1099"/>
      <c r="B98" s="152" t="s">
        <v>578</v>
      </c>
      <c r="C98" s="108" t="s">
        <v>737</v>
      </c>
      <c r="D98" s="95"/>
      <c r="E98" s="250"/>
      <c r="F98" s="251"/>
      <c r="H98" s="43" t="s">
        <v>267</v>
      </c>
      <c r="I98" s="302" t="str">
        <f t="shared" si="65"/>
        <v/>
      </c>
      <c r="J98" s="302" t="str">
        <f t="shared" si="66"/>
        <v/>
      </c>
      <c r="K98" s="302" t="str">
        <f t="shared" si="66"/>
        <v/>
      </c>
      <c r="L98" s="302" t="str">
        <f t="shared" si="67"/>
        <v/>
      </c>
      <c r="M98" s="302" t="str">
        <f t="shared" si="68"/>
        <v/>
      </c>
      <c r="N98" s="302" t="str">
        <f t="shared" si="69"/>
        <v/>
      </c>
      <c r="O98" s="302" t="str">
        <f t="shared" si="70"/>
        <v/>
      </c>
      <c r="P98" s="302" t="str">
        <f t="shared" si="71"/>
        <v/>
      </c>
      <c r="Q98" s="302" t="str">
        <f t="shared" si="71"/>
        <v/>
      </c>
      <c r="R98" s="302" t="str">
        <f t="shared" si="72"/>
        <v/>
      </c>
      <c r="S98" s="302" t="str">
        <f t="shared" si="73"/>
        <v/>
      </c>
      <c r="T98" s="302" t="str">
        <f t="shared" si="73"/>
        <v/>
      </c>
      <c r="U98" s="303">
        <f t="shared" si="40"/>
        <v>0</v>
      </c>
      <c r="V98" s="214">
        <f t="shared" si="74"/>
        <v>0</v>
      </c>
      <c r="W98" s="322">
        <f t="shared" si="51"/>
        <v>0</v>
      </c>
    </row>
    <row r="99" spans="1:23" x14ac:dyDescent="0.2">
      <c r="A99" s="1099"/>
      <c r="B99" s="140" t="s">
        <v>579</v>
      </c>
      <c r="C99" s="108" t="s">
        <v>739</v>
      </c>
      <c r="D99" s="95"/>
      <c r="E99" s="250"/>
      <c r="F99" s="251"/>
      <c r="H99" s="43" t="s">
        <v>267</v>
      </c>
      <c r="I99" s="302" t="str">
        <f t="shared" si="65"/>
        <v/>
      </c>
      <c r="J99" s="302" t="str">
        <f t="shared" si="66"/>
        <v/>
      </c>
      <c r="K99" s="302" t="str">
        <f t="shared" si="66"/>
        <v/>
      </c>
      <c r="L99" s="302" t="str">
        <f t="shared" si="67"/>
        <v/>
      </c>
      <c r="M99" s="302" t="str">
        <f t="shared" si="68"/>
        <v/>
      </c>
      <c r="N99" s="302" t="str">
        <f t="shared" si="69"/>
        <v/>
      </c>
      <c r="O99" s="302" t="str">
        <f t="shared" si="70"/>
        <v/>
      </c>
      <c r="P99" s="302" t="str">
        <f t="shared" si="71"/>
        <v/>
      </c>
      <c r="Q99" s="302" t="str">
        <f t="shared" si="71"/>
        <v/>
      </c>
      <c r="R99" s="302" t="str">
        <f t="shared" si="72"/>
        <v/>
      </c>
      <c r="S99" s="302" t="str">
        <f t="shared" si="73"/>
        <v/>
      </c>
      <c r="T99" s="302" t="str">
        <f t="shared" si="73"/>
        <v/>
      </c>
      <c r="U99" s="303">
        <f t="shared" si="40"/>
        <v>0</v>
      </c>
      <c r="V99" s="214">
        <f t="shared" si="74"/>
        <v>0</v>
      </c>
      <c r="W99" s="322">
        <f t="shared" si="51"/>
        <v>0</v>
      </c>
    </row>
    <row r="100" spans="1:23" x14ac:dyDescent="0.2">
      <c r="A100" s="1099"/>
      <c r="B100" s="140" t="s">
        <v>747</v>
      </c>
      <c r="C100" s="108" t="s">
        <v>740</v>
      </c>
      <c r="D100" s="95"/>
      <c r="E100" s="250"/>
      <c r="F100" s="251"/>
      <c r="H100" s="43" t="s">
        <v>267</v>
      </c>
      <c r="I100" s="302" t="str">
        <f t="shared" si="65"/>
        <v/>
      </c>
      <c r="J100" s="302" t="str">
        <f t="shared" si="66"/>
        <v/>
      </c>
      <c r="K100" s="302" t="str">
        <f t="shared" si="66"/>
        <v/>
      </c>
      <c r="L100" s="302" t="str">
        <f t="shared" si="67"/>
        <v/>
      </c>
      <c r="M100" s="302" t="str">
        <f t="shared" si="68"/>
        <v/>
      </c>
      <c r="N100" s="302" t="str">
        <f t="shared" si="69"/>
        <v/>
      </c>
      <c r="O100" s="302" t="str">
        <f t="shared" si="70"/>
        <v/>
      </c>
      <c r="P100" s="302" t="str">
        <f t="shared" si="71"/>
        <v/>
      </c>
      <c r="Q100" s="302" t="str">
        <f t="shared" si="71"/>
        <v/>
      </c>
      <c r="R100" s="302" t="str">
        <f t="shared" si="72"/>
        <v/>
      </c>
      <c r="S100" s="302" t="str">
        <f t="shared" si="73"/>
        <v/>
      </c>
      <c r="T100" s="302" t="str">
        <f t="shared" si="73"/>
        <v/>
      </c>
      <c r="U100" s="303">
        <f>E100</f>
        <v>0</v>
      </c>
      <c r="V100" s="214">
        <f t="shared" si="74"/>
        <v>0</v>
      </c>
      <c r="W100" s="322">
        <f t="shared" si="51"/>
        <v>0</v>
      </c>
    </row>
    <row r="101" spans="1:23" x14ac:dyDescent="0.2">
      <c r="A101" s="1099"/>
      <c r="B101" s="140" t="s">
        <v>748</v>
      </c>
      <c r="C101" s="108" t="s">
        <v>745</v>
      </c>
      <c r="D101" s="417"/>
      <c r="E101" s="250"/>
      <c r="F101" s="251"/>
      <c r="H101" s="43" t="s">
        <v>267</v>
      </c>
      <c r="I101" s="302" t="str">
        <f t="shared" si="65"/>
        <v/>
      </c>
      <c r="J101" s="302" t="str">
        <f t="shared" si="66"/>
        <v/>
      </c>
      <c r="K101" s="302" t="str">
        <f t="shared" si="66"/>
        <v/>
      </c>
      <c r="L101" s="302" t="str">
        <f t="shared" si="67"/>
        <v/>
      </c>
      <c r="M101" s="302" t="str">
        <f t="shared" si="68"/>
        <v/>
      </c>
      <c r="N101" s="302" t="str">
        <f t="shared" si="69"/>
        <v/>
      </c>
      <c r="O101" s="302" t="str">
        <f t="shared" si="70"/>
        <v/>
      </c>
      <c r="P101" s="302" t="str">
        <f t="shared" si="71"/>
        <v/>
      </c>
      <c r="Q101" s="302" t="str">
        <f t="shared" si="71"/>
        <v/>
      </c>
      <c r="R101" s="302" t="str">
        <f t="shared" si="72"/>
        <v/>
      </c>
      <c r="S101" s="302" t="str">
        <f t="shared" si="73"/>
        <v/>
      </c>
      <c r="T101" s="302" t="str">
        <f t="shared" si="73"/>
        <v/>
      </c>
      <c r="U101" s="303">
        <f>E101</f>
        <v>0</v>
      </c>
      <c r="V101" s="214">
        <f t="shared" si="74"/>
        <v>0</v>
      </c>
      <c r="W101" s="322">
        <f t="shared" si="51"/>
        <v>0</v>
      </c>
    </row>
    <row r="102" spans="1:23" x14ac:dyDescent="0.2">
      <c r="A102" s="1099"/>
      <c r="B102" s="152" t="s">
        <v>749</v>
      </c>
      <c r="C102" s="108" t="s">
        <v>741</v>
      </c>
      <c r="D102" s="95"/>
      <c r="E102" s="250"/>
      <c r="F102" s="251"/>
      <c r="H102" s="43" t="s">
        <v>267</v>
      </c>
      <c r="I102" s="302" t="str">
        <f t="shared" si="65"/>
        <v/>
      </c>
      <c r="J102" s="302" t="str">
        <f t="shared" si="66"/>
        <v/>
      </c>
      <c r="K102" s="302" t="str">
        <f t="shared" si="66"/>
        <v/>
      </c>
      <c r="L102" s="302" t="str">
        <f t="shared" si="67"/>
        <v/>
      </c>
      <c r="M102" s="302" t="str">
        <f t="shared" si="68"/>
        <v/>
      </c>
      <c r="N102" s="302" t="str">
        <f t="shared" si="69"/>
        <v/>
      </c>
      <c r="O102" s="302" t="str">
        <f t="shared" si="70"/>
        <v/>
      </c>
      <c r="P102" s="302" t="str">
        <f t="shared" si="71"/>
        <v/>
      </c>
      <c r="Q102" s="302" t="str">
        <f t="shared" si="71"/>
        <v/>
      </c>
      <c r="R102" s="302" t="str">
        <f t="shared" si="72"/>
        <v/>
      </c>
      <c r="S102" s="302" t="str">
        <f t="shared" si="73"/>
        <v/>
      </c>
      <c r="T102" s="302" t="str">
        <f t="shared" si="73"/>
        <v/>
      </c>
      <c r="U102" s="303">
        <f>E102</f>
        <v>0</v>
      </c>
      <c r="V102" s="214">
        <f t="shared" si="74"/>
        <v>0</v>
      </c>
      <c r="W102" s="322">
        <f t="shared" si="51"/>
        <v>0</v>
      </c>
    </row>
    <row r="103" spans="1:23" x14ac:dyDescent="0.2">
      <c r="A103" s="1099"/>
      <c r="B103" s="140" t="s">
        <v>750</v>
      </c>
      <c r="C103" s="108" t="s">
        <v>746</v>
      </c>
      <c r="D103" s="95"/>
      <c r="E103" s="250"/>
      <c r="F103" s="251"/>
      <c r="H103" s="43" t="s">
        <v>267</v>
      </c>
      <c r="I103" s="302" t="str">
        <f t="shared" si="65"/>
        <v/>
      </c>
      <c r="J103" s="302" t="str">
        <f t="shared" si="66"/>
        <v/>
      </c>
      <c r="K103" s="302" t="str">
        <f t="shared" si="66"/>
        <v/>
      </c>
      <c r="L103" s="302" t="str">
        <f t="shared" si="67"/>
        <v/>
      </c>
      <c r="M103" s="302" t="str">
        <f t="shared" si="68"/>
        <v/>
      </c>
      <c r="N103" s="302" t="str">
        <f t="shared" si="69"/>
        <v/>
      </c>
      <c r="O103" s="302" t="str">
        <f t="shared" si="70"/>
        <v/>
      </c>
      <c r="P103" s="302" t="str">
        <f t="shared" si="71"/>
        <v/>
      </c>
      <c r="Q103" s="302" t="str">
        <f t="shared" si="71"/>
        <v/>
      </c>
      <c r="R103" s="302" t="str">
        <f t="shared" si="72"/>
        <v/>
      </c>
      <c r="S103" s="302" t="str">
        <f t="shared" si="73"/>
        <v/>
      </c>
      <c r="T103" s="302" t="str">
        <f t="shared" si="73"/>
        <v/>
      </c>
      <c r="U103" s="303">
        <f>E103</f>
        <v>0</v>
      </c>
      <c r="V103" s="214">
        <f t="shared" si="74"/>
        <v>0</v>
      </c>
      <c r="W103" s="322">
        <f t="shared" si="51"/>
        <v>0</v>
      </c>
    </row>
    <row r="104" spans="1:23" ht="13.5" thickBot="1" x14ac:dyDescent="0.25">
      <c r="A104" s="1100"/>
      <c r="B104" s="155">
        <v>8390</v>
      </c>
      <c r="C104" s="144" t="s">
        <v>594</v>
      </c>
      <c r="D104" s="310"/>
      <c r="E104" s="309"/>
      <c r="F104" s="257">
        <f>SUM(E96:E104)</f>
        <v>7538</v>
      </c>
      <c r="H104" s="43" t="s">
        <v>267</v>
      </c>
      <c r="I104" s="302" t="str">
        <f t="shared" si="65"/>
        <v/>
      </c>
      <c r="J104" s="302" t="str">
        <f t="shared" si="66"/>
        <v/>
      </c>
      <c r="K104" s="302" t="str">
        <f t="shared" si="66"/>
        <v/>
      </c>
      <c r="L104" s="302" t="str">
        <f t="shared" si="67"/>
        <v/>
      </c>
      <c r="M104" s="302" t="str">
        <f t="shared" si="68"/>
        <v/>
      </c>
      <c r="N104" s="302" t="str">
        <f t="shared" si="69"/>
        <v/>
      </c>
      <c r="O104" s="302" t="str">
        <f t="shared" si="70"/>
        <v/>
      </c>
      <c r="P104" s="302" t="str">
        <f t="shared" si="71"/>
        <v/>
      </c>
      <c r="Q104" s="302" t="str">
        <f t="shared" si="71"/>
        <v/>
      </c>
      <c r="R104" s="302" t="str">
        <f t="shared" si="72"/>
        <v/>
      </c>
      <c r="S104" s="302" t="str">
        <f t="shared" si="73"/>
        <v/>
      </c>
      <c r="T104" s="302" t="str">
        <f t="shared" si="73"/>
        <v/>
      </c>
      <c r="U104" s="303">
        <f>E104</f>
        <v>0</v>
      </c>
      <c r="V104" s="214">
        <f t="shared" si="74"/>
        <v>0</v>
      </c>
      <c r="W104" s="322">
        <f t="shared" si="51"/>
        <v>0</v>
      </c>
    </row>
    <row r="105" spans="1:23" ht="13.5" thickBot="1" x14ac:dyDescent="0.25">
      <c r="A105" s="8"/>
      <c r="B105" s="118"/>
      <c r="C105" s="106"/>
      <c r="D105" s="107"/>
      <c r="E105" s="267"/>
      <c r="F105" s="268"/>
      <c r="I105" s="306"/>
      <c r="J105" s="306"/>
      <c r="K105" s="306"/>
      <c r="L105" s="306"/>
      <c r="M105" s="306"/>
      <c r="N105" s="306"/>
      <c r="O105" s="306"/>
      <c r="P105" s="306"/>
      <c r="Q105" s="306"/>
      <c r="R105" s="306"/>
      <c r="S105" s="306"/>
      <c r="T105" s="306"/>
      <c r="U105" s="305"/>
      <c r="W105" s="322">
        <f t="shared" si="51"/>
        <v>0</v>
      </c>
    </row>
    <row r="106" spans="1:23" x14ac:dyDescent="0.2">
      <c r="A106" s="1118" t="s">
        <v>639</v>
      </c>
      <c r="B106" s="145" t="s">
        <v>644</v>
      </c>
      <c r="C106" s="146" t="s">
        <v>640</v>
      </c>
      <c r="D106" s="1005" t="s">
        <v>1028</v>
      </c>
      <c r="E106" s="246">
        <v>20602</v>
      </c>
      <c r="F106" s="247"/>
      <c r="H106" s="43" t="s">
        <v>290</v>
      </c>
      <c r="I106" s="302">
        <f>IF($H106="Monthly",$E106/12,IF($H106="Quarterly (From April)",$E106/4,IF($H106="Termly",$E106/3,IF($H106="Monthly (excl. August)",$E106/11,""))))</f>
        <v>1716.8333333333333</v>
      </c>
      <c r="J106" s="302">
        <f t="shared" ref="J106:K110" si="75">IF($H106="Monthly",$E106/12,IF($H106="Quarterly (From April)",0,IF($H106="Termly",0,IF($H106="Monthly (excl. August)",$E106/11,""))))</f>
        <v>1716.8333333333333</v>
      </c>
      <c r="K106" s="302">
        <f t="shared" si="75"/>
        <v>1716.8333333333333</v>
      </c>
      <c r="L106" s="302">
        <f>IF($H106="Monthly",$E106/12,IF($H106="Quarterly (From April)",$E106/4,IF($H106="Termly",0,IF($H106="Monthly (excl. August)",$E106/11,""))))</f>
        <v>1716.8333333333333</v>
      </c>
      <c r="M106" s="302">
        <f>IF($H106="Monthly",$E106/12,IF($H106="Quarterly (From April)",0,IF($H106="Termly",0,IF($H106="Monthly (excl. August)",0,""))))</f>
        <v>1716.8333333333333</v>
      </c>
      <c r="N106" s="302">
        <f>IF($H106="Monthly",$E106/12,IF($H106="Quarterly (From April)",0,IF($H106="Termly",$E106/3,IF($H106="Monthly (excl. August)",$E106/11,""))))</f>
        <v>1716.8333333333333</v>
      </c>
      <c r="O106" s="302">
        <f>IF($H106="Monthly",$E106/12,IF($H106="Quarterly (From April)",$E106/4,IF($H106="Termly",0,IF($H106="Monthly (excl. August)",$E106/11,""))))</f>
        <v>1716.8333333333333</v>
      </c>
      <c r="P106" s="302">
        <f t="shared" ref="P106:Q110" si="76">IF($H106="Monthly",$E106/12,IF($H106="Quarterly (From April)",0,IF($H106="Termly",0,IF($H106="Monthly (excl. August)",$E106/11,""))))</f>
        <v>1716.8333333333333</v>
      </c>
      <c r="Q106" s="302">
        <f t="shared" si="76"/>
        <v>1716.8333333333333</v>
      </c>
      <c r="R106" s="302">
        <f>IF($H106="Monthly",$E106/12,IF($H106="Quarterly (From April)",$E106/4,IF($H106="Termly",$E106/3,IF($H106="Monthly (excl. August)",$E106/11,""))))</f>
        <v>1716.8333333333333</v>
      </c>
      <c r="S106" s="302">
        <f t="shared" ref="S106:T110" si="77">IF($H106="Monthly",$E106/12,IF($H106="Quarterly (From April)",0,IF($H106="Termly",0,IF($H106="Monthly (excl. August)",$E106/11,""))))</f>
        <v>1716.8333333333333</v>
      </c>
      <c r="T106" s="302">
        <f t="shared" si="77"/>
        <v>1716.8333333333333</v>
      </c>
      <c r="U106" s="303">
        <f>E106</f>
        <v>20602</v>
      </c>
      <c r="V106" s="214">
        <f>IF(ROUND(SUM(I106:T106),0)&gt;U106,1,IF(ROUND(SUM(I106:T106),0)&lt;U106,1,0))</f>
        <v>0</v>
      </c>
      <c r="W106" s="322">
        <f t="shared" si="51"/>
        <v>0</v>
      </c>
    </row>
    <row r="107" spans="1:23" x14ac:dyDescent="0.2">
      <c r="A107" s="1099"/>
      <c r="B107" s="140" t="s">
        <v>645</v>
      </c>
      <c r="C107" s="108" t="s">
        <v>642</v>
      </c>
      <c r="D107" s="417" t="s">
        <v>1030</v>
      </c>
      <c r="E107" s="250">
        <v>100</v>
      </c>
      <c r="F107" s="251"/>
      <c r="H107" s="43" t="s">
        <v>293</v>
      </c>
      <c r="I107" s="302">
        <f>IF($H107="Monthly",$E107/12,IF($H107="Quarterly (From April)",$E107/4,IF($H107="Termly",$E107/3,IF($H107="Monthly (excl. August)",$E107/11,""))))</f>
        <v>33.333333333333336</v>
      </c>
      <c r="J107" s="302">
        <f t="shared" si="75"/>
        <v>0</v>
      </c>
      <c r="K107" s="302">
        <f t="shared" si="75"/>
        <v>0</v>
      </c>
      <c r="L107" s="302">
        <f>IF($H107="Monthly",$E107/12,IF($H107="Quarterly (From April)",$E107/4,IF($H107="Termly",0,IF($H107="Monthly (excl. August)",$E107/11,""))))</f>
        <v>0</v>
      </c>
      <c r="M107" s="302">
        <f>IF($H107="Monthly",$E107/12,IF($H107="Quarterly (From April)",0,IF($H107="Termly",0,IF($H107="Monthly (excl. August)",0,""))))</f>
        <v>0</v>
      </c>
      <c r="N107" s="302">
        <f>IF($H107="Monthly",$E107/12,IF($H107="Quarterly (From April)",0,IF($H107="Termly",$E107/3,IF($H107="Monthly (excl. August)",$E107/11,""))))</f>
        <v>33.333333333333336</v>
      </c>
      <c r="O107" s="302">
        <f>IF($H107="Monthly",$E107/12,IF($H107="Quarterly (From April)",$E107/4,IF($H107="Termly",0,IF($H107="Monthly (excl. August)",$E107/11,""))))</f>
        <v>0</v>
      </c>
      <c r="P107" s="302">
        <f t="shared" si="76"/>
        <v>0</v>
      </c>
      <c r="Q107" s="302">
        <f t="shared" si="76"/>
        <v>0</v>
      </c>
      <c r="R107" s="302">
        <f>IF($H107="Monthly",$E107/12,IF($H107="Quarterly (From April)",$E107/4,IF($H107="Termly",$E107/3,IF($H107="Monthly (excl. August)",$E107/11,""))))</f>
        <v>33.333333333333336</v>
      </c>
      <c r="S107" s="302">
        <f t="shared" si="77"/>
        <v>0</v>
      </c>
      <c r="T107" s="302">
        <f t="shared" si="77"/>
        <v>0</v>
      </c>
      <c r="U107" s="303">
        <f>E107</f>
        <v>100</v>
      </c>
      <c r="V107" s="214">
        <f>IF(ROUND(SUM(I107:T107),0)&gt;U107,1,IF(ROUND(SUM(I107:T107),0)&lt;U107,1,0))</f>
        <v>0</v>
      </c>
      <c r="W107" s="322">
        <f t="shared" si="51"/>
        <v>0</v>
      </c>
    </row>
    <row r="108" spans="1:23" x14ac:dyDescent="0.2">
      <c r="A108" s="1099"/>
      <c r="B108" s="147" t="s">
        <v>646</v>
      </c>
      <c r="C108" s="108" t="s">
        <v>641</v>
      </c>
      <c r="D108" s="95"/>
      <c r="E108" s="250"/>
      <c r="F108" s="251"/>
      <c r="H108" s="43" t="s">
        <v>267</v>
      </c>
      <c r="I108" s="302" t="str">
        <f>IF($H108="Monthly",$E108/12,IF($H108="Quarterly (From April)",$E108/4,IF($H108="Termly",$E108/3,IF($H108="Monthly (excl. August)",$E108/11,""))))</f>
        <v/>
      </c>
      <c r="J108" s="302" t="str">
        <f t="shared" si="75"/>
        <v/>
      </c>
      <c r="K108" s="302" t="str">
        <f t="shared" si="75"/>
        <v/>
      </c>
      <c r="L108" s="302" t="str">
        <f>IF($H108="Monthly",$E108/12,IF($H108="Quarterly (From April)",$E108/4,IF($H108="Termly",0,IF($H108="Monthly (excl. August)",$E108/11,""))))</f>
        <v/>
      </c>
      <c r="M108" s="302" t="str">
        <f>IF($H108="Monthly",$E108/12,IF($H108="Quarterly (From April)",0,IF($H108="Termly",0,IF($H108="Monthly (excl. August)",0,""))))</f>
        <v/>
      </c>
      <c r="N108" s="302" t="str">
        <f>IF($H108="Monthly",$E108/12,IF($H108="Quarterly (From April)",0,IF($H108="Termly",$E108/3,IF($H108="Monthly (excl. August)",$E108/11,""))))</f>
        <v/>
      </c>
      <c r="O108" s="302" t="str">
        <f>IF($H108="Monthly",$E108/12,IF($H108="Quarterly (From April)",$E108/4,IF($H108="Termly",0,IF($H108="Monthly (excl. August)",$E108/11,""))))</f>
        <v/>
      </c>
      <c r="P108" s="302" t="str">
        <f t="shared" si="76"/>
        <v/>
      </c>
      <c r="Q108" s="302" t="str">
        <f t="shared" si="76"/>
        <v/>
      </c>
      <c r="R108" s="302" t="str">
        <f>IF($H108="Monthly",$E108/12,IF($H108="Quarterly (From April)",$E108/4,IF($H108="Termly",$E108/3,IF($H108="Monthly (excl. August)",$E108/11,""))))</f>
        <v/>
      </c>
      <c r="S108" s="302" t="str">
        <f t="shared" si="77"/>
        <v/>
      </c>
      <c r="T108" s="302" t="str">
        <f t="shared" si="77"/>
        <v/>
      </c>
      <c r="U108" s="303">
        <f>E108</f>
        <v>0</v>
      </c>
      <c r="V108" s="214">
        <f>IF(ROUND(SUM(I108:T108),0)&gt;U108,1,IF(ROUND(SUM(I108:T108),0)&lt;U108,1,0))</f>
        <v>0</v>
      </c>
      <c r="W108" s="322">
        <f t="shared" si="51"/>
        <v>0</v>
      </c>
    </row>
    <row r="109" spans="1:23" x14ac:dyDescent="0.2">
      <c r="A109" s="1099"/>
      <c r="B109" s="140" t="s">
        <v>647</v>
      </c>
      <c r="C109" s="148" t="s">
        <v>643</v>
      </c>
      <c r="D109" s="95"/>
      <c r="E109" s="250"/>
      <c r="F109" s="251"/>
      <c r="H109" s="43" t="s">
        <v>267</v>
      </c>
      <c r="I109" s="302" t="str">
        <f>IF($H109="Monthly",$E109/12,IF($H109="Quarterly (From April)",$E109/4,IF($H109="Termly",$E109/3,IF($H109="Monthly (excl. August)",$E109/11,""))))</f>
        <v/>
      </c>
      <c r="J109" s="302" t="str">
        <f t="shared" si="75"/>
        <v/>
      </c>
      <c r="K109" s="302" t="str">
        <f t="shared" si="75"/>
        <v/>
      </c>
      <c r="L109" s="302" t="str">
        <f>IF($H109="Monthly",$E109/12,IF($H109="Quarterly (From April)",$E109/4,IF($H109="Termly",0,IF($H109="Monthly (excl. August)",$E109/11,""))))</f>
        <v/>
      </c>
      <c r="M109" s="302" t="str">
        <f>IF($H109="Monthly",$E109/12,IF($H109="Quarterly (From April)",0,IF($H109="Termly",0,IF($H109="Monthly (excl. August)",0,""))))</f>
        <v/>
      </c>
      <c r="N109" s="302" t="str">
        <f>IF($H109="Monthly",$E109/12,IF($H109="Quarterly (From April)",0,IF($H109="Termly",$E109/3,IF($H109="Monthly (excl. August)",$E109/11,""))))</f>
        <v/>
      </c>
      <c r="O109" s="302" t="str">
        <f>IF($H109="Monthly",$E109/12,IF($H109="Quarterly (From April)",$E109/4,IF($H109="Termly",0,IF($H109="Monthly (excl. August)",$E109/11,""))))</f>
        <v/>
      </c>
      <c r="P109" s="302" t="str">
        <f t="shared" si="76"/>
        <v/>
      </c>
      <c r="Q109" s="302" t="str">
        <f t="shared" si="76"/>
        <v/>
      </c>
      <c r="R109" s="302" t="str">
        <f>IF($H109="Monthly",$E109/12,IF($H109="Quarterly (From April)",$E109/4,IF($H109="Termly",$E109/3,IF($H109="Monthly (excl. August)",$E109/11,""))))</f>
        <v/>
      </c>
      <c r="S109" s="302" t="str">
        <f t="shared" si="77"/>
        <v/>
      </c>
      <c r="T109" s="302" t="str">
        <f t="shared" si="77"/>
        <v/>
      </c>
      <c r="U109" s="303">
        <f>E109</f>
        <v>0</v>
      </c>
      <c r="V109" s="214">
        <f>IF(ROUND(SUM(I109:T109),0)&gt;U109,1,IF(ROUND(SUM(I109:T109),0)&lt;U109,1,0))</f>
        <v>0</v>
      </c>
      <c r="W109" s="322">
        <f t="shared" si="51"/>
        <v>0</v>
      </c>
    </row>
    <row r="110" spans="1:23" ht="13.5" thickBot="1" x14ac:dyDescent="0.25">
      <c r="A110" s="1100"/>
      <c r="B110" s="155">
        <v>8390</v>
      </c>
      <c r="C110" s="144" t="s">
        <v>594</v>
      </c>
      <c r="D110" s="310"/>
      <c r="E110" s="309"/>
      <c r="F110" s="257">
        <f>SUM(E106:E110)</f>
        <v>20702</v>
      </c>
      <c r="H110" s="43" t="s">
        <v>267</v>
      </c>
      <c r="I110" s="302" t="str">
        <f>IF($H110="Monthly",$E110/12,IF($H110="Quarterly (From April)",$E110/4,IF($H110="Termly",$E110/3,IF($H110="Monthly (excl. August)",$E110/11,""))))</f>
        <v/>
      </c>
      <c r="J110" s="302" t="str">
        <f t="shared" si="75"/>
        <v/>
      </c>
      <c r="K110" s="302" t="str">
        <f t="shared" si="75"/>
        <v/>
      </c>
      <c r="L110" s="302" t="str">
        <f>IF($H110="Monthly",$E110/12,IF($H110="Quarterly (From April)",$E110/4,IF($H110="Termly",0,IF($H110="Monthly (excl. August)",$E110/11,""))))</f>
        <v/>
      </c>
      <c r="M110" s="302" t="str">
        <f>IF($H110="Monthly",$E110/12,IF($H110="Quarterly (From April)",0,IF($H110="Termly",0,IF($H110="Monthly (excl. August)",0,""))))</f>
        <v/>
      </c>
      <c r="N110" s="302" t="str">
        <f>IF($H110="Monthly",$E110/12,IF($H110="Quarterly (From April)",0,IF($H110="Termly",$E110/3,IF($H110="Monthly (excl. August)",$E110/11,""))))</f>
        <v/>
      </c>
      <c r="O110" s="302" t="str">
        <f>IF($H110="Monthly",$E110/12,IF($H110="Quarterly (From April)",$E110/4,IF($H110="Termly",0,IF($H110="Monthly (excl. August)",$E110/11,""))))</f>
        <v/>
      </c>
      <c r="P110" s="302" t="str">
        <f t="shared" si="76"/>
        <v/>
      </c>
      <c r="Q110" s="302" t="str">
        <f t="shared" si="76"/>
        <v/>
      </c>
      <c r="R110" s="302" t="str">
        <f>IF($H110="Monthly",$E110/12,IF($H110="Quarterly (From April)",$E110/4,IF($H110="Termly",$E110/3,IF($H110="Monthly (excl. August)",$E110/11,""))))</f>
        <v/>
      </c>
      <c r="S110" s="302" t="str">
        <f t="shared" si="77"/>
        <v/>
      </c>
      <c r="T110" s="302" t="str">
        <f t="shared" si="77"/>
        <v/>
      </c>
      <c r="U110" s="303">
        <f>E110</f>
        <v>0</v>
      </c>
      <c r="V110" s="214">
        <f>IF(ROUND(SUM(I110:T110),0)&gt;U110,1,IF(ROUND(SUM(I110:T110),0)&lt;U110,1,0))</f>
        <v>0</v>
      </c>
      <c r="W110" s="322">
        <f t="shared" si="51"/>
        <v>0</v>
      </c>
    </row>
    <row r="111" spans="1:23" ht="13.5" thickBot="1" x14ac:dyDescent="0.25">
      <c r="A111" s="41"/>
      <c r="B111" s="117"/>
      <c r="C111" s="101"/>
      <c r="D111" s="102"/>
      <c r="E111" s="259"/>
      <c r="F111" s="260"/>
      <c r="I111" s="306"/>
      <c r="J111" s="306"/>
      <c r="K111" s="306"/>
      <c r="L111" s="306"/>
      <c r="M111" s="306"/>
      <c r="N111" s="306"/>
      <c r="O111" s="306"/>
      <c r="P111" s="306"/>
      <c r="Q111" s="306"/>
      <c r="R111" s="306"/>
      <c r="S111" s="306"/>
      <c r="T111" s="306"/>
      <c r="U111" s="305"/>
      <c r="W111" s="322">
        <f t="shared" si="51"/>
        <v>0</v>
      </c>
    </row>
    <row r="112" spans="1:23" x14ac:dyDescent="0.2">
      <c r="A112" s="1113" t="s">
        <v>695</v>
      </c>
      <c r="B112" s="136" t="s">
        <v>554</v>
      </c>
      <c r="C112" s="113" t="s">
        <v>435</v>
      </c>
      <c r="D112" s="93"/>
      <c r="E112" s="246"/>
      <c r="F112" s="269"/>
      <c r="H112" s="43" t="s">
        <v>267</v>
      </c>
      <c r="I112" s="302" t="str">
        <f t="shared" ref="I112:I119" si="78">IF($H112="Monthly",$E112/12,IF($H112="Quarterly (From April)",$E112/4,IF($H112="Termly",$E112/3,IF($H112="Monthly (excl. August)",$E112/11,""))))</f>
        <v/>
      </c>
      <c r="J112" s="302" t="str">
        <f t="shared" ref="J112:K119" si="79">IF($H112="Monthly",$E112/12,IF($H112="Quarterly (From April)",0,IF($H112="Termly",0,IF($H112="Monthly (excl. August)",$E112/11,""))))</f>
        <v/>
      </c>
      <c r="K112" s="302" t="str">
        <f t="shared" si="79"/>
        <v/>
      </c>
      <c r="L112" s="302" t="str">
        <f t="shared" ref="L112:L119" si="80">IF($H112="Monthly",$E112/12,IF($H112="Quarterly (From April)",$E112/4,IF($H112="Termly",0,IF($H112="Monthly (excl. August)",$E112/11,""))))</f>
        <v/>
      </c>
      <c r="M112" s="302" t="str">
        <f t="shared" ref="M112:M119" si="81">IF($H112="Monthly",$E112/12,IF($H112="Quarterly (From April)",0,IF($H112="Termly",0,IF($H112="Monthly (excl. August)",0,""))))</f>
        <v/>
      </c>
      <c r="N112" s="302" t="str">
        <f t="shared" ref="N112:N119" si="82">IF($H112="Monthly",$E112/12,IF($H112="Quarterly (From April)",0,IF($H112="Termly",$E112/3,IF($H112="Monthly (excl. August)",$E112/11,""))))</f>
        <v/>
      </c>
      <c r="O112" s="302" t="str">
        <f t="shared" ref="O112:O119" si="83">IF($H112="Monthly",$E112/12,IF($H112="Quarterly (From April)",$E112/4,IF($H112="Termly",0,IF($H112="Monthly (excl. August)",$E112/11,""))))</f>
        <v/>
      </c>
      <c r="P112" s="302" t="str">
        <f t="shared" ref="P112:Q119" si="84">IF($H112="Monthly",$E112/12,IF($H112="Quarterly (From April)",0,IF($H112="Termly",0,IF($H112="Monthly (excl. August)",$E112/11,""))))</f>
        <v/>
      </c>
      <c r="Q112" s="302" t="str">
        <f t="shared" si="84"/>
        <v/>
      </c>
      <c r="R112" s="302" t="str">
        <f t="shared" ref="R112:R119" si="85">IF($H112="Monthly",$E112/12,IF($H112="Quarterly (From April)",$E112/4,IF($H112="Termly",$E112/3,IF($H112="Monthly (excl. August)",$E112/11,""))))</f>
        <v/>
      </c>
      <c r="S112" s="302" t="str">
        <f t="shared" ref="S112:T119" si="86">IF($H112="Monthly",$E112/12,IF($H112="Quarterly (From April)",0,IF($H112="Termly",0,IF($H112="Monthly (excl. August)",$E112/11,""))))</f>
        <v/>
      </c>
      <c r="T112" s="302" t="str">
        <f t="shared" si="86"/>
        <v/>
      </c>
      <c r="U112" s="303">
        <f t="shared" ref="U112:U119" si="87">E112</f>
        <v>0</v>
      </c>
      <c r="V112" s="214">
        <f t="shared" ref="V112:V119" si="88">IF(ROUND(SUM(I112:T112),0)&gt;U112,1,IF(ROUND(SUM(I112:T112),0)&lt;U112,1,0))</f>
        <v>0</v>
      </c>
      <c r="W112" s="322">
        <f t="shared" si="51"/>
        <v>0</v>
      </c>
    </row>
    <row r="113" spans="1:23" x14ac:dyDescent="0.2">
      <c r="A113" s="1102"/>
      <c r="B113" s="140" t="s">
        <v>557</v>
      </c>
      <c r="C113" s="108" t="s">
        <v>437</v>
      </c>
      <c r="D113" s="417"/>
      <c r="E113" s="250"/>
      <c r="F113" s="263"/>
      <c r="H113" s="43" t="s">
        <v>267</v>
      </c>
      <c r="I113" s="302" t="str">
        <f t="shared" si="78"/>
        <v/>
      </c>
      <c r="J113" s="302" t="str">
        <f t="shared" si="79"/>
        <v/>
      </c>
      <c r="K113" s="302" t="str">
        <f t="shared" si="79"/>
        <v/>
      </c>
      <c r="L113" s="302" t="str">
        <f t="shared" si="80"/>
        <v/>
      </c>
      <c r="M113" s="302" t="str">
        <f t="shared" si="81"/>
        <v/>
      </c>
      <c r="N113" s="302" t="str">
        <f t="shared" si="82"/>
        <v/>
      </c>
      <c r="O113" s="302" t="str">
        <f t="shared" si="83"/>
        <v/>
      </c>
      <c r="P113" s="302" t="str">
        <f t="shared" si="84"/>
        <v/>
      </c>
      <c r="Q113" s="302" t="str">
        <f t="shared" si="84"/>
        <v/>
      </c>
      <c r="R113" s="302" t="str">
        <f t="shared" si="85"/>
        <v/>
      </c>
      <c r="S113" s="302" t="str">
        <f t="shared" si="86"/>
        <v/>
      </c>
      <c r="T113" s="302" t="str">
        <f t="shared" si="86"/>
        <v/>
      </c>
      <c r="U113" s="303">
        <f t="shared" si="87"/>
        <v>0</v>
      </c>
      <c r="V113" s="214">
        <f t="shared" si="88"/>
        <v>0</v>
      </c>
      <c r="W113" s="322">
        <f t="shared" si="51"/>
        <v>0</v>
      </c>
    </row>
    <row r="114" spans="1:23" x14ac:dyDescent="0.2">
      <c r="A114" s="1102"/>
      <c r="B114" s="140" t="s">
        <v>558</v>
      </c>
      <c r="C114" s="108" t="s">
        <v>438</v>
      </c>
      <c r="D114" s="95"/>
      <c r="E114" s="250"/>
      <c r="F114" s="263"/>
      <c r="H114" s="43" t="s">
        <v>267</v>
      </c>
      <c r="I114" s="302" t="str">
        <f t="shared" si="78"/>
        <v/>
      </c>
      <c r="J114" s="302" t="str">
        <f t="shared" si="79"/>
        <v/>
      </c>
      <c r="K114" s="302" t="str">
        <f t="shared" si="79"/>
        <v/>
      </c>
      <c r="L114" s="302" t="str">
        <f t="shared" si="80"/>
        <v/>
      </c>
      <c r="M114" s="302" t="str">
        <f t="shared" si="81"/>
        <v/>
      </c>
      <c r="N114" s="302" t="str">
        <f t="shared" si="82"/>
        <v/>
      </c>
      <c r="O114" s="302" t="str">
        <f t="shared" si="83"/>
        <v/>
      </c>
      <c r="P114" s="302" t="str">
        <f t="shared" si="84"/>
        <v/>
      </c>
      <c r="Q114" s="302" t="str">
        <f t="shared" si="84"/>
        <v/>
      </c>
      <c r="R114" s="302" t="str">
        <f t="shared" si="85"/>
        <v/>
      </c>
      <c r="S114" s="302" t="str">
        <f t="shared" si="86"/>
        <v/>
      </c>
      <c r="T114" s="302" t="str">
        <f t="shared" si="86"/>
        <v/>
      </c>
      <c r="U114" s="303">
        <f t="shared" si="87"/>
        <v>0</v>
      </c>
      <c r="V114" s="214">
        <f t="shared" si="88"/>
        <v>0</v>
      </c>
      <c r="W114" s="322">
        <f t="shared" si="51"/>
        <v>0</v>
      </c>
    </row>
    <row r="115" spans="1:23" x14ac:dyDescent="0.2">
      <c r="A115" s="1102"/>
      <c r="B115" s="171" t="s">
        <v>560</v>
      </c>
      <c r="C115" s="108" t="s">
        <v>440</v>
      </c>
      <c r="D115" s="95"/>
      <c r="E115" s="250"/>
      <c r="F115" s="263"/>
      <c r="H115" s="43" t="s">
        <v>267</v>
      </c>
      <c r="I115" s="302" t="str">
        <f t="shared" si="78"/>
        <v/>
      </c>
      <c r="J115" s="302" t="str">
        <f t="shared" si="79"/>
        <v/>
      </c>
      <c r="K115" s="302" t="str">
        <f t="shared" si="79"/>
        <v/>
      </c>
      <c r="L115" s="302" t="str">
        <f t="shared" si="80"/>
        <v/>
      </c>
      <c r="M115" s="302" t="str">
        <f t="shared" si="81"/>
        <v/>
      </c>
      <c r="N115" s="302" t="str">
        <f t="shared" si="82"/>
        <v/>
      </c>
      <c r="O115" s="302" t="str">
        <f t="shared" si="83"/>
        <v/>
      </c>
      <c r="P115" s="302" t="str">
        <f t="shared" si="84"/>
        <v/>
      </c>
      <c r="Q115" s="302" t="str">
        <f t="shared" si="84"/>
        <v/>
      </c>
      <c r="R115" s="302" t="str">
        <f t="shared" si="85"/>
        <v/>
      </c>
      <c r="S115" s="302" t="str">
        <f t="shared" si="86"/>
        <v/>
      </c>
      <c r="T115" s="302" t="str">
        <f t="shared" si="86"/>
        <v/>
      </c>
      <c r="U115" s="303">
        <f t="shared" si="87"/>
        <v>0</v>
      </c>
      <c r="V115" s="214">
        <f t="shared" si="88"/>
        <v>0</v>
      </c>
      <c r="W115" s="322">
        <f t="shared" si="51"/>
        <v>0</v>
      </c>
    </row>
    <row r="116" spans="1:23" x14ac:dyDescent="0.2">
      <c r="A116" s="1102"/>
      <c r="B116" s="171" t="s">
        <v>562</v>
      </c>
      <c r="C116" s="108" t="s">
        <v>445</v>
      </c>
      <c r="D116" s="95"/>
      <c r="E116" s="250"/>
      <c r="F116" s="263"/>
      <c r="H116" s="43" t="s">
        <v>267</v>
      </c>
      <c r="I116" s="302" t="str">
        <f t="shared" si="78"/>
        <v/>
      </c>
      <c r="J116" s="302" t="str">
        <f t="shared" si="79"/>
        <v/>
      </c>
      <c r="K116" s="302" t="str">
        <f t="shared" si="79"/>
        <v/>
      </c>
      <c r="L116" s="302" t="str">
        <f t="shared" si="80"/>
        <v/>
      </c>
      <c r="M116" s="302" t="str">
        <f t="shared" si="81"/>
        <v/>
      </c>
      <c r="N116" s="302" t="str">
        <f t="shared" si="82"/>
        <v/>
      </c>
      <c r="O116" s="302" t="str">
        <f t="shared" si="83"/>
        <v/>
      </c>
      <c r="P116" s="302" t="str">
        <f t="shared" si="84"/>
        <v/>
      </c>
      <c r="Q116" s="302" t="str">
        <f t="shared" si="84"/>
        <v/>
      </c>
      <c r="R116" s="302" t="str">
        <f t="shared" si="85"/>
        <v/>
      </c>
      <c r="S116" s="302" t="str">
        <f t="shared" si="86"/>
        <v/>
      </c>
      <c r="T116" s="302" t="str">
        <f t="shared" si="86"/>
        <v/>
      </c>
      <c r="U116" s="303">
        <f t="shared" si="87"/>
        <v>0</v>
      </c>
      <c r="V116" s="214">
        <f t="shared" si="88"/>
        <v>0</v>
      </c>
      <c r="W116" s="322">
        <f t="shared" si="51"/>
        <v>0</v>
      </c>
    </row>
    <row r="117" spans="1:23" x14ac:dyDescent="0.2">
      <c r="A117" s="1111"/>
      <c r="B117" s="140" t="s">
        <v>564</v>
      </c>
      <c r="C117" s="108" t="s">
        <v>447</v>
      </c>
      <c r="D117" s="95"/>
      <c r="E117" s="250"/>
      <c r="F117" s="263"/>
      <c r="H117" s="43" t="s">
        <v>267</v>
      </c>
      <c r="I117" s="302" t="str">
        <f t="shared" si="78"/>
        <v/>
      </c>
      <c r="J117" s="302" t="str">
        <f t="shared" si="79"/>
        <v/>
      </c>
      <c r="K117" s="302" t="str">
        <f t="shared" si="79"/>
        <v/>
      </c>
      <c r="L117" s="302" t="str">
        <f t="shared" si="80"/>
        <v/>
      </c>
      <c r="M117" s="302" t="str">
        <f t="shared" si="81"/>
        <v/>
      </c>
      <c r="N117" s="302" t="str">
        <f t="shared" si="82"/>
        <v/>
      </c>
      <c r="O117" s="302" t="str">
        <f t="shared" si="83"/>
        <v/>
      </c>
      <c r="P117" s="302" t="str">
        <f t="shared" si="84"/>
        <v/>
      </c>
      <c r="Q117" s="302" t="str">
        <f t="shared" si="84"/>
        <v/>
      </c>
      <c r="R117" s="302" t="str">
        <f t="shared" si="85"/>
        <v/>
      </c>
      <c r="S117" s="302" t="str">
        <f t="shared" si="86"/>
        <v/>
      </c>
      <c r="T117" s="302" t="str">
        <f t="shared" si="86"/>
        <v/>
      </c>
      <c r="U117" s="303">
        <f t="shared" si="87"/>
        <v>0</v>
      </c>
      <c r="V117" s="214">
        <f t="shared" si="88"/>
        <v>0</v>
      </c>
      <c r="W117" s="322">
        <f t="shared" si="51"/>
        <v>0</v>
      </c>
    </row>
    <row r="118" spans="1:23" x14ac:dyDescent="0.2">
      <c r="A118" s="1111"/>
      <c r="B118" s="140" t="s">
        <v>563</v>
      </c>
      <c r="C118" s="108" t="s">
        <v>446</v>
      </c>
      <c r="D118" s="95"/>
      <c r="E118" s="250"/>
      <c r="F118" s="263"/>
      <c r="H118" s="43" t="s">
        <v>267</v>
      </c>
      <c r="I118" s="302" t="str">
        <f t="shared" si="78"/>
        <v/>
      </c>
      <c r="J118" s="302" t="str">
        <f t="shared" si="79"/>
        <v/>
      </c>
      <c r="K118" s="302" t="str">
        <f t="shared" si="79"/>
        <v/>
      </c>
      <c r="L118" s="302" t="str">
        <f t="shared" si="80"/>
        <v/>
      </c>
      <c r="M118" s="302" t="str">
        <f t="shared" si="81"/>
        <v/>
      </c>
      <c r="N118" s="302" t="str">
        <f t="shared" si="82"/>
        <v/>
      </c>
      <c r="O118" s="302" t="str">
        <f t="shared" si="83"/>
        <v/>
      </c>
      <c r="P118" s="302" t="str">
        <f t="shared" si="84"/>
        <v/>
      </c>
      <c r="Q118" s="302" t="str">
        <f t="shared" si="84"/>
        <v/>
      </c>
      <c r="R118" s="302" t="str">
        <f t="shared" si="85"/>
        <v/>
      </c>
      <c r="S118" s="302" t="str">
        <f t="shared" si="86"/>
        <v/>
      </c>
      <c r="T118" s="302" t="str">
        <f t="shared" si="86"/>
        <v/>
      </c>
      <c r="U118" s="303">
        <f t="shared" si="87"/>
        <v>0</v>
      </c>
      <c r="V118" s="214">
        <f t="shared" si="88"/>
        <v>0</v>
      </c>
      <c r="W118" s="322">
        <f t="shared" si="51"/>
        <v>0</v>
      </c>
    </row>
    <row r="119" spans="1:23" ht="13.5" thickBot="1" x14ac:dyDescent="0.25">
      <c r="A119" s="1112"/>
      <c r="B119" s="930" t="s">
        <v>565</v>
      </c>
      <c r="C119" s="936" t="s">
        <v>448</v>
      </c>
      <c r="D119" s="105"/>
      <c r="E119" s="265"/>
      <c r="F119" s="266">
        <f>SUM(E112:E119)</f>
        <v>0</v>
      </c>
      <c r="H119" s="43" t="s">
        <v>267</v>
      </c>
      <c r="I119" s="302" t="str">
        <f t="shared" si="78"/>
        <v/>
      </c>
      <c r="J119" s="302" t="str">
        <f t="shared" si="79"/>
        <v/>
      </c>
      <c r="K119" s="302" t="str">
        <f t="shared" si="79"/>
        <v/>
      </c>
      <c r="L119" s="302" t="str">
        <f t="shared" si="80"/>
        <v/>
      </c>
      <c r="M119" s="302" t="str">
        <f t="shared" si="81"/>
        <v/>
      </c>
      <c r="N119" s="302" t="str">
        <f t="shared" si="82"/>
        <v/>
      </c>
      <c r="O119" s="302" t="str">
        <f t="shared" si="83"/>
        <v/>
      </c>
      <c r="P119" s="302" t="str">
        <f t="shared" si="84"/>
        <v/>
      </c>
      <c r="Q119" s="302" t="str">
        <f t="shared" si="84"/>
        <v/>
      </c>
      <c r="R119" s="302" t="str">
        <f t="shared" si="85"/>
        <v/>
      </c>
      <c r="S119" s="302" t="str">
        <f t="shared" si="86"/>
        <v/>
      </c>
      <c r="T119" s="302" t="str">
        <f t="shared" si="86"/>
        <v/>
      </c>
      <c r="U119" s="303">
        <f t="shared" si="87"/>
        <v>0</v>
      </c>
      <c r="V119" s="214">
        <f t="shared" si="88"/>
        <v>0</v>
      </c>
      <c r="W119" s="322">
        <f t="shared" si="51"/>
        <v>0</v>
      </c>
    </row>
    <row r="120" spans="1:23" ht="13.5" thickBot="1" x14ac:dyDescent="0.25">
      <c r="A120" s="8"/>
      <c r="B120" s="118"/>
      <c r="C120" s="106"/>
      <c r="D120" s="107"/>
      <c r="E120" s="267"/>
      <c r="F120" s="268"/>
      <c r="I120" s="306"/>
      <c r="J120" s="306"/>
      <c r="K120" s="306"/>
      <c r="L120" s="306"/>
      <c r="M120" s="306"/>
      <c r="N120" s="306"/>
      <c r="O120" s="306"/>
      <c r="P120" s="306"/>
      <c r="Q120" s="306"/>
      <c r="R120" s="306"/>
      <c r="S120" s="306"/>
      <c r="T120" s="306"/>
      <c r="U120" s="305"/>
      <c r="W120" s="322">
        <f t="shared" si="51"/>
        <v>0</v>
      </c>
    </row>
    <row r="121" spans="1:23" x14ac:dyDescent="0.2">
      <c r="A121" s="1113" t="s">
        <v>463</v>
      </c>
      <c r="B121" s="156">
        <v>4965</v>
      </c>
      <c r="C121" s="113" t="s">
        <v>595</v>
      </c>
      <c r="D121" s="1005" t="s">
        <v>1059</v>
      </c>
      <c r="E121" s="246">
        <v>8935</v>
      </c>
      <c r="F121" s="247"/>
      <c r="H121" s="43" t="s">
        <v>291</v>
      </c>
      <c r="I121" s="302">
        <v>8935</v>
      </c>
      <c r="J121" s="302" t="str">
        <f t="shared" ref="J121:K124" si="89">IF($H121="Monthly",$E121/12,IF($H121="Quarterly (From April)",0,IF($H121="Termly",0,IF($H121="Monthly (excl. August)",$E121/11,""))))</f>
        <v/>
      </c>
      <c r="K121" s="302" t="str">
        <f t="shared" si="89"/>
        <v/>
      </c>
      <c r="L121" s="302" t="str">
        <f>IF($H121="Monthly",$E121/12,IF($H121="Quarterly (From April)",$E121/4,IF($H121="Termly",0,IF($H121="Monthly (excl. August)",$E121/11,""))))</f>
        <v/>
      </c>
      <c r="M121" s="302" t="str">
        <f>IF($H121="Monthly",$E121/12,IF($H121="Quarterly (From April)",0,IF($H121="Termly",0,IF($H121="Monthly (excl. August)",0,""))))</f>
        <v/>
      </c>
      <c r="N121" s="302" t="str">
        <f>IF($H121="Monthly",$E121/12,IF($H121="Quarterly (From April)",0,IF($H121="Termly",$E121/3,IF($H121="Monthly (excl. August)",$E121/11,""))))</f>
        <v/>
      </c>
      <c r="O121" s="302" t="str">
        <f>IF($H121="Monthly",$E121/12,IF($H121="Quarterly (From April)",$E121/4,IF($H121="Termly",0,IF($H121="Monthly (excl. August)",$E121/11,""))))</f>
        <v/>
      </c>
      <c r="P121" s="302" t="str">
        <f t="shared" ref="P121:Q124" si="90">IF($H121="Monthly",$E121/12,IF($H121="Quarterly (From April)",0,IF($H121="Termly",0,IF($H121="Monthly (excl. August)",$E121/11,""))))</f>
        <v/>
      </c>
      <c r="Q121" s="302" t="str">
        <f t="shared" si="90"/>
        <v/>
      </c>
      <c r="R121" s="302" t="str">
        <f>IF($H121="Monthly",$E121/12,IF($H121="Quarterly (From April)",$E121/4,IF($H121="Termly",$E121/3,IF($H121="Monthly (excl. August)",$E121/11,""))))</f>
        <v/>
      </c>
      <c r="S121" s="302" t="str">
        <f t="shared" ref="S121:T124" si="91">IF($H121="Monthly",$E121/12,IF($H121="Quarterly (From April)",0,IF($H121="Termly",0,IF($H121="Monthly (excl. August)",$E121/11,""))))</f>
        <v/>
      </c>
      <c r="T121" s="302" t="str">
        <f t="shared" si="91"/>
        <v/>
      </c>
      <c r="U121" s="303">
        <f>E121</f>
        <v>8935</v>
      </c>
      <c r="V121" s="214">
        <f>IF(ROUND(SUM(I121:T121),0)&gt;U121,1,IF(ROUND(SUM(I121:T121),0)&lt;U121,1,0))</f>
        <v>0</v>
      </c>
      <c r="W121" s="322">
        <f t="shared" si="51"/>
        <v>0</v>
      </c>
    </row>
    <row r="122" spans="1:23" x14ac:dyDescent="0.2">
      <c r="A122" s="1111"/>
      <c r="B122" s="157">
        <v>4966</v>
      </c>
      <c r="C122" s="108" t="s">
        <v>597</v>
      </c>
      <c r="D122" s="95"/>
      <c r="E122" s="250"/>
      <c r="F122" s="251"/>
      <c r="H122" s="43" t="s">
        <v>267</v>
      </c>
      <c r="I122" s="302" t="str">
        <f>IF($H122="Monthly",$E122/12,IF($H122="Quarterly (From April)",$E122/4,IF($H122="Termly",$E122/3,IF($H122="Monthly (excl. August)",$E122/11,""))))</f>
        <v/>
      </c>
      <c r="J122" s="302" t="str">
        <f t="shared" si="89"/>
        <v/>
      </c>
      <c r="K122" s="302" t="str">
        <f t="shared" si="89"/>
        <v/>
      </c>
      <c r="L122" s="302" t="str">
        <f>IF($H122="Monthly",$E122/12,IF($H122="Quarterly (From April)",$E122/4,IF($H122="Termly",0,IF($H122="Monthly (excl. August)",$E122/11,""))))</f>
        <v/>
      </c>
      <c r="M122" s="302" t="str">
        <f>IF($H122="Monthly",$E122/12,IF($H122="Quarterly (From April)",0,IF($H122="Termly",0,IF($H122="Monthly (excl. August)",0,""))))</f>
        <v/>
      </c>
      <c r="N122" s="302" t="str">
        <f>IF($H122="Monthly",$E122/12,IF($H122="Quarterly (From April)",0,IF($H122="Termly",$E122/3,IF($H122="Monthly (excl. August)",$E122/11,""))))</f>
        <v/>
      </c>
      <c r="O122" s="302" t="str">
        <f>IF($H122="Monthly",$E122/12,IF($H122="Quarterly (From April)",$E122/4,IF($H122="Termly",0,IF($H122="Monthly (excl. August)",$E122/11,""))))</f>
        <v/>
      </c>
      <c r="P122" s="302" t="str">
        <f t="shared" si="90"/>
        <v/>
      </c>
      <c r="Q122" s="302" t="str">
        <f t="shared" si="90"/>
        <v/>
      </c>
      <c r="R122" s="302" t="str">
        <f>IF($H122="Monthly",$E122/12,IF($H122="Quarterly (From April)",$E122/4,IF($H122="Termly",$E122/3,IF($H122="Monthly (excl. August)",$E122/11,""))))</f>
        <v/>
      </c>
      <c r="S122" s="302" t="str">
        <f t="shared" si="91"/>
        <v/>
      </c>
      <c r="T122" s="302" t="str">
        <f t="shared" si="91"/>
        <v/>
      </c>
      <c r="U122" s="303">
        <f>E122</f>
        <v>0</v>
      </c>
      <c r="V122" s="214">
        <f>IF(ROUND(SUM(I122:T122),0)&gt;U122,1,IF(ROUND(SUM(I122:T122),0)&lt;U122,1,0))</f>
        <v>0</v>
      </c>
      <c r="W122" s="322">
        <f t="shared" si="51"/>
        <v>0</v>
      </c>
    </row>
    <row r="123" spans="1:23" x14ac:dyDescent="0.2">
      <c r="A123" s="1111"/>
      <c r="B123" s="157">
        <v>4967</v>
      </c>
      <c r="C123" s="108" t="s">
        <v>596</v>
      </c>
      <c r="D123" s="95"/>
      <c r="E123" s="250"/>
      <c r="F123" s="251"/>
      <c r="H123" s="43" t="s">
        <v>267</v>
      </c>
      <c r="I123" s="302" t="str">
        <f>IF($H123="Monthly",$E123/12,IF($H123="Quarterly (From April)",$E123/4,IF($H123="Termly",$E123/3,IF($H123="Monthly (excl. August)",$E123/11,""))))</f>
        <v/>
      </c>
      <c r="J123" s="302" t="str">
        <f t="shared" si="89"/>
        <v/>
      </c>
      <c r="K123" s="302" t="str">
        <f t="shared" si="89"/>
        <v/>
      </c>
      <c r="L123" s="302" t="str">
        <f>IF($H123="Monthly",$E123/12,IF($H123="Quarterly (From April)",$E123/4,IF($H123="Termly",0,IF($H123="Monthly (excl. August)",$E123/11,""))))</f>
        <v/>
      </c>
      <c r="M123" s="302" t="str">
        <f>IF($H123="Monthly",$E123/12,IF($H123="Quarterly (From April)",0,IF($H123="Termly",0,IF($H123="Monthly (excl. August)",0,""))))</f>
        <v/>
      </c>
      <c r="N123" s="302" t="str">
        <f>IF($H123="Monthly",$E123/12,IF($H123="Quarterly (From April)",0,IF($H123="Termly",$E123/3,IF($H123="Monthly (excl. August)",$E123/11,""))))</f>
        <v/>
      </c>
      <c r="O123" s="302" t="str">
        <f>IF($H123="Monthly",$E123/12,IF($H123="Quarterly (From April)",$E123/4,IF($H123="Termly",0,IF($H123="Monthly (excl. August)",$E123/11,""))))</f>
        <v/>
      </c>
      <c r="P123" s="302" t="str">
        <f t="shared" si="90"/>
        <v/>
      </c>
      <c r="Q123" s="302" t="str">
        <f t="shared" si="90"/>
        <v/>
      </c>
      <c r="R123" s="302" t="str">
        <f>IF($H123="Monthly",$E123/12,IF($H123="Quarterly (From April)",$E123/4,IF($H123="Termly",$E123/3,IF($H123="Monthly (excl. August)",$E123/11,""))))</f>
        <v/>
      </c>
      <c r="S123" s="302" t="str">
        <f t="shared" si="91"/>
        <v/>
      </c>
      <c r="T123" s="302" t="str">
        <f t="shared" si="91"/>
        <v/>
      </c>
      <c r="U123" s="303">
        <f>E123</f>
        <v>0</v>
      </c>
      <c r="V123" s="214">
        <f>IF(ROUND(SUM(I123:T123),0)&gt;U123,1,IF(ROUND(SUM(I123:T123),0)&lt;U123,1,0))</f>
        <v>0</v>
      </c>
      <c r="W123" s="322">
        <f t="shared" si="51"/>
        <v>0</v>
      </c>
    </row>
    <row r="124" spans="1:23" ht="13.5" thickBot="1" x14ac:dyDescent="0.25">
      <c r="A124" s="1112"/>
      <c r="B124" s="161">
        <v>4968</v>
      </c>
      <c r="C124" s="109" t="s">
        <v>464</v>
      </c>
      <c r="D124" s="100"/>
      <c r="E124" s="256"/>
      <c r="F124" s="257">
        <f>SUM(E121:E124)</f>
        <v>8935</v>
      </c>
      <c r="H124" s="43" t="s">
        <v>267</v>
      </c>
      <c r="I124" s="302" t="str">
        <f>IF($H124="Monthly",$E124/12,IF($H124="Quarterly (From April)",$E124/4,IF($H124="Termly",$E124/3,IF($H124="Monthly (excl. August)",$E124/11,""))))</f>
        <v/>
      </c>
      <c r="J124" s="302" t="str">
        <f t="shared" si="89"/>
        <v/>
      </c>
      <c r="K124" s="302" t="str">
        <f t="shared" si="89"/>
        <v/>
      </c>
      <c r="L124" s="302" t="str">
        <f>IF($H124="Monthly",$E124/12,IF($H124="Quarterly (From April)",$E124/4,IF($H124="Termly",0,IF($H124="Monthly (excl. August)",$E124/11,""))))</f>
        <v/>
      </c>
      <c r="M124" s="302" t="str">
        <f>IF($H124="Monthly",$E124/12,IF($H124="Quarterly (From April)",0,IF($H124="Termly",0,IF($H124="Monthly (excl. August)",0,""))))</f>
        <v/>
      </c>
      <c r="N124" s="302" t="str">
        <f>IF($H124="Monthly",$E124/12,IF($H124="Quarterly (From April)",0,IF($H124="Termly",$E124/3,IF($H124="Monthly (excl. August)",$E124/11,""))))</f>
        <v/>
      </c>
      <c r="O124" s="302" t="str">
        <f>IF($H124="Monthly",$E124/12,IF($H124="Quarterly (From April)",$E124/4,IF($H124="Termly",0,IF($H124="Monthly (excl. August)",$E124/11,""))))</f>
        <v/>
      </c>
      <c r="P124" s="302" t="str">
        <f t="shared" si="90"/>
        <v/>
      </c>
      <c r="Q124" s="302" t="str">
        <f t="shared" si="90"/>
        <v/>
      </c>
      <c r="R124" s="302" t="str">
        <f>IF($H124="Monthly",$E124/12,IF($H124="Quarterly (From April)",$E124/4,IF($H124="Termly",$E124/3,IF($H124="Monthly (excl. August)",$E124/11,""))))</f>
        <v/>
      </c>
      <c r="S124" s="302" t="str">
        <f t="shared" si="91"/>
        <v/>
      </c>
      <c r="T124" s="302" t="str">
        <f t="shared" si="91"/>
        <v/>
      </c>
      <c r="U124" s="303">
        <f>E124</f>
        <v>0</v>
      </c>
      <c r="V124" s="214">
        <f>IF(ROUND(SUM(I124:T124),0)&gt;U124,1,IF(ROUND(SUM(I124:T124),0)&lt;U124,1,0))</f>
        <v>0</v>
      </c>
      <c r="W124" s="322">
        <f t="shared" si="51"/>
        <v>0</v>
      </c>
    </row>
    <row r="125" spans="1:23" ht="13.5" thickBot="1" x14ac:dyDescent="0.25">
      <c r="A125" s="8"/>
      <c r="B125" s="118"/>
      <c r="C125" s="106"/>
      <c r="D125" s="107"/>
      <c r="E125" s="267"/>
      <c r="F125" s="268"/>
      <c r="I125" s="306"/>
      <c r="J125" s="306"/>
      <c r="K125" s="306"/>
      <c r="L125" s="306"/>
      <c r="M125" s="306"/>
      <c r="N125" s="306"/>
      <c r="O125" s="306"/>
      <c r="P125" s="306"/>
      <c r="Q125" s="306"/>
      <c r="R125" s="306"/>
      <c r="S125" s="306"/>
      <c r="T125" s="306"/>
      <c r="U125" s="305"/>
      <c r="W125" s="322">
        <f t="shared" si="51"/>
        <v>0</v>
      </c>
    </row>
    <row r="126" spans="1:23" x14ac:dyDescent="0.2">
      <c r="A126" s="1113" t="s">
        <v>465</v>
      </c>
      <c r="B126" s="136" t="s">
        <v>751</v>
      </c>
      <c r="C126" s="113" t="s">
        <v>586</v>
      </c>
      <c r="D126" s="93"/>
      <c r="E126" s="246"/>
      <c r="F126" s="247"/>
      <c r="H126" s="43" t="s">
        <v>267</v>
      </c>
      <c r="I126" s="302" t="str">
        <f t="shared" ref="I126:I138" si="92">IF($H126="Monthly",$E126/12,IF($H126="Quarterly (From April)",$E126/4,IF($H126="Termly",$E126/3,IF($H126="Monthly (excl. August)",$E126/11,""))))</f>
        <v/>
      </c>
      <c r="J126" s="302" t="str">
        <f t="shared" ref="J126:K138" si="93">IF($H126="Monthly",$E126/12,IF($H126="Quarterly (From April)",0,IF($H126="Termly",0,IF($H126="Monthly (excl. August)",$E126/11,""))))</f>
        <v/>
      </c>
      <c r="K126" s="302" t="str">
        <f t="shared" si="93"/>
        <v/>
      </c>
      <c r="L126" s="302" t="str">
        <f t="shared" ref="L126:L138" si="94">IF($H126="Monthly",$E126/12,IF($H126="Quarterly (From April)",$E126/4,IF($H126="Termly",0,IF($H126="Monthly (excl. August)",$E126/11,""))))</f>
        <v/>
      </c>
      <c r="M126" s="302" t="str">
        <f t="shared" ref="M126:M138" si="95">IF($H126="Monthly",$E126/12,IF($H126="Quarterly (From April)",0,IF($H126="Termly",0,IF($H126="Monthly (excl. August)",0,""))))</f>
        <v/>
      </c>
      <c r="N126" s="302" t="str">
        <f t="shared" ref="N126:N138" si="96">IF($H126="Monthly",$E126/12,IF($H126="Quarterly (From April)",0,IF($H126="Termly",$E126/3,IF($H126="Monthly (excl. August)",$E126/11,""))))</f>
        <v/>
      </c>
      <c r="O126" s="302" t="str">
        <f t="shared" ref="O126:O138" si="97">IF($H126="Monthly",$E126/12,IF($H126="Quarterly (From April)",$E126/4,IF($H126="Termly",0,IF($H126="Monthly (excl. August)",$E126/11,""))))</f>
        <v/>
      </c>
      <c r="P126" s="302" t="str">
        <f t="shared" ref="P126:Q138" si="98">IF($H126="Monthly",$E126/12,IF($H126="Quarterly (From April)",0,IF($H126="Termly",0,IF($H126="Monthly (excl. August)",$E126/11,""))))</f>
        <v/>
      </c>
      <c r="Q126" s="302" t="str">
        <f t="shared" si="98"/>
        <v/>
      </c>
      <c r="R126" s="302" t="str">
        <f t="shared" ref="R126:R138" si="99">IF($H126="Monthly",$E126/12,IF($H126="Quarterly (From April)",$E126/4,IF($H126="Termly",$E126/3,IF($H126="Monthly (excl. August)",$E126/11,""))))</f>
        <v/>
      </c>
      <c r="S126" s="302" t="str">
        <f t="shared" ref="S126:T138" si="100">IF($H126="Monthly",$E126/12,IF($H126="Quarterly (From April)",0,IF($H126="Termly",0,IF($H126="Monthly (excl. August)",$E126/11,""))))</f>
        <v/>
      </c>
      <c r="T126" s="302" t="str">
        <f t="shared" si="100"/>
        <v/>
      </c>
      <c r="U126" s="303">
        <f t="shared" ref="U126:U138" si="101">E126</f>
        <v>0</v>
      </c>
      <c r="V126" s="214">
        <f t="shared" ref="V126:V138" si="102">IF(ROUND(SUM(I126:T126),0)&gt;U126,1,IF(ROUND(SUM(I126:T126),0)&lt;U126,1,0))</f>
        <v>0</v>
      </c>
      <c r="W126" s="322">
        <f t="shared" si="51"/>
        <v>0</v>
      </c>
    </row>
    <row r="127" spans="1:23" x14ac:dyDescent="0.2">
      <c r="A127" s="1111"/>
      <c r="B127" s="140" t="s">
        <v>587</v>
      </c>
      <c r="C127" s="108" t="s">
        <v>466</v>
      </c>
      <c r="D127" s="94"/>
      <c r="E127" s="248"/>
      <c r="F127" s="249"/>
      <c r="H127" s="43" t="s">
        <v>267</v>
      </c>
      <c r="I127" s="302" t="str">
        <f t="shared" si="92"/>
        <v/>
      </c>
      <c r="J127" s="302" t="str">
        <f t="shared" si="93"/>
        <v/>
      </c>
      <c r="K127" s="302" t="str">
        <f t="shared" si="93"/>
        <v/>
      </c>
      <c r="L127" s="302" t="str">
        <f t="shared" si="94"/>
        <v/>
      </c>
      <c r="M127" s="302" t="str">
        <f t="shared" si="95"/>
        <v/>
      </c>
      <c r="N127" s="302" t="str">
        <f t="shared" si="96"/>
        <v/>
      </c>
      <c r="O127" s="302" t="str">
        <f t="shared" si="97"/>
        <v/>
      </c>
      <c r="P127" s="302" t="str">
        <f t="shared" si="98"/>
        <v/>
      </c>
      <c r="Q127" s="302" t="str">
        <f t="shared" si="98"/>
        <v/>
      </c>
      <c r="R127" s="302" t="str">
        <f t="shared" si="99"/>
        <v/>
      </c>
      <c r="S127" s="302" t="str">
        <f t="shared" si="100"/>
        <v/>
      </c>
      <c r="T127" s="302" t="str">
        <f t="shared" si="100"/>
        <v/>
      </c>
      <c r="U127" s="303">
        <f t="shared" si="101"/>
        <v>0</v>
      </c>
      <c r="V127" s="214">
        <f t="shared" si="102"/>
        <v>0</v>
      </c>
      <c r="W127" s="322">
        <f t="shared" si="51"/>
        <v>0</v>
      </c>
    </row>
    <row r="128" spans="1:23" x14ac:dyDescent="0.2">
      <c r="A128" s="1111"/>
      <c r="B128" s="140" t="s">
        <v>588</v>
      </c>
      <c r="C128" s="108" t="s">
        <v>467</v>
      </c>
      <c r="D128" s="94"/>
      <c r="E128" s="248"/>
      <c r="F128" s="249"/>
      <c r="H128" s="43" t="s">
        <v>267</v>
      </c>
      <c r="I128" s="302" t="str">
        <f t="shared" si="92"/>
        <v/>
      </c>
      <c r="J128" s="302" t="str">
        <f t="shared" si="93"/>
        <v/>
      </c>
      <c r="K128" s="302" t="str">
        <f t="shared" si="93"/>
        <v/>
      </c>
      <c r="L128" s="302" t="str">
        <f t="shared" si="94"/>
        <v/>
      </c>
      <c r="M128" s="302" t="str">
        <f t="shared" si="95"/>
        <v/>
      </c>
      <c r="N128" s="302" t="str">
        <f t="shared" si="96"/>
        <v/>
      </c>
      <c r="O128" s="302" t="str">
        <f t="shared" si="97"/>
        <v/>
      </c>
      <c r="P128" s="302" t="str">
        <f t="shared" si="98"/>
        <v/>
      </c>
      <c r="Q128" s="302" t="str">
        <f t="shared" si="98"/>
        <v/>
      </c>
      <c r="R128" s="302" t="str">
        <f t="shared" si="99"/>
        <v/>
      </c>
      <c r="S128" s="302" t="str">
        <f t="shared" si="100"/>
        <v/>
      </c>
      <c r="T128" s="302" t="str">
        <f t="shared" si="100"/>
        <v/>
      </c>
      <c r="U128" s="303">
        <f t="shared" si="101"/>
        <v>0</v>
      </c>
      <c r="V128" s="214">
        <f t="shared" si="102"/>
        <v>0</v>
      </c>
      <c r="W128" s="322">
        <f t="shared" si="51"/>
        <v>0</v>
      </c>
    </row>
    <row r="129" spans="1:23" x14ac:dyDescent="0.2">
      <c r="A129" s="1111"/>
      <c r="B129" s="157">
        <v>4967</v>
      </c>
      <c r="C129" s="108" t="s">
        <v>468</v>
      </c>
      <c r="D129" s="94"/>
      <c r="E129" s="248"/>
      <c r="F129" s="249"/>
      <c r="H129" s="43" t="s">
        <v>267</v>
      </c>
      <c r="I129" s="302" t="str">
        <f t="shared" si="92"/>
        <v/>
      </c>
      <c r="J129" s="302" t="str">
        <f t="shared" si="93"/>
        <v/>
      </c>
      <c r="K129" s="302" t="str">
        <f t="shared" si="93"/>
        <v/>
      </c>
      <c r="L129" s="302" t="str">
        <f t="shared" si="94"/>
        <v/>
      </c>
      <c r="M129" s="302" t="str">
        <f t="shared" si="95"/>
        <v/>
      </c>
      <c r="N129" s="302" t="str">
        <f t="shared" si="96"/>
        <v/>
      </c>
      <c r="O129" s="302" t="str">
        <f t="shared" si="97"/>
        <v/>
      </c>
      <c r="P129" s="302" t="str">
        <f t="shared" si="98"/>
        <v/>
      </c>
      <c r="Q129" s="302" t="str">
        <f t="shared" si="98"/>
        <v/>
      </c>
      <c r="R129" s="302" t="str">
        <f t="shared" si="99"/>
        <v/>
      </c>
      <c r="S129" s="302" t="str">
        <f t="shared" si="100"/>
        <v/>
      </c>
      <c r="T129" s="302" t="str">
        <f t="shared" si="100"/>
        <v/>
      </c>
      <c r="U129" s="303">
        <f t="shared" si="101"/>
        <v>0</v>
      </c>
      <c r="V129" s="214">
        <f t="shared" si="102"/>
        <v>0</v>
      </c>
      <c r="W129" s="322">
        <f t="shared" si="51"/>
        <v>0</v>
      </c>
    </row>
    <row r="130" spans="1:23" x14ac:dyDescent="0.2">
      <c r="A130" s="1111"/>
      <c r="B130" s="140" t="s">
        <v>649</v>
      </c>
      <c r="C130" s="108" t="s">
        <v>648</v>
      </c>
      <c r="D130" s="94"/>
      <c r="E130" s="248"/>
      <c r="F130" s="249"/>
      <c r="H130" s="43" t="s">
        <v>267</v>
      </c>
      <c r="I130" s="302" t="str">
        <f t="shared" si="92"/>
        <v/>
      </c>
      <c r="J130" s="302" t="str">
        <f t="shared" si="93"/>
        <v/>
      </c>
      <c r="K130" s="302" t="str">
        <f t="shared" si="93"/>
        <v/>
      </c>
      <c r="L130" s="302" t="str">
        <f t="shared" si="94"/>
        <v/>
      </c>
      <c r="M130" s="302" t="str">
        <f t="shared" si="95"/>
        <v/>
      </c>
      <c r="N130" s="302" t="str">
        <f t="shared" si="96"/>
        <v/>
      </c>
      <c r="O130" s="302" t="str">
        <f t="shared" si="97"/>
        <v/>
      </c>
      <c r="P130" s="302" t="str">
        <f t="shared" si="98"/>
        <v/>
      </c>
      <c r="Q130" s="302" t="str">
        <f t="shared" si="98"/>
        <v/>
      </c>
      <c r="R130" s="302" t="str">
        <f t="shared" si="99"/>
        <v/>
      </c>
      <c r="S130" s="302" t="str">
        <f t="shared" si="100"/>
        <v/>
      </c>
      <c r="T130" s="302" t="str">
        <f t="shared" si="100"/>
        <v/>
      </c>
      <c r="U130" s="303">
        <f t="shared" si="101"/>
        <v>0</v>
      </c>
      <c r="V130" s="214">
        <f t="shared" si="102"/>
        <v>0</v>
      </c>
      <c r="W130" s="322">
        <f t="shared" si="51"/>
        <v>0</v>
      </c>
    </row>
    <row r="131" spans="1:23" x14ac:dyDescent="0.2">
      <c r="A131" s="1111"/>
      <c r="B131" s="140" t="s">
        <v>589</v>
      </c>
      <c r="C131" s="108" t="s">
        <v>470</v>
      </c>
      <c r="D131" s="1006" t="s">
        <v>1031</v>
      </c>
      <c r="E131" s="248">
        <v>200</v>
      </c>
      <c r="F131" s="249"/>
      <c r="H131" s="43" t="s">
        <v>293</v>
      </c>
      <c r="I131" s="302">
        <f t="shared" si="92"/>
        <v>66.666666666666671</v>
      </c>
      <c r="J131" s="302">
        <f t="shared" si="93"/>
        <v>0</v>
      </c>
      <c r="K131" s="302">
        <f t="shared" si="93"/>
        <v>0</v>
      </c>
      <c r="L131" s="302">
        <f t="shared" si="94"/>
        <v>0</v>
      </c>
      <c r="M131" s="302">
        <f t="shared" si="95"/>
        <v>0</v>
      </c>
      <c r="N131" s="302">
        <f t="shared" si="96"/>
        <v>66.666666666666671</v>
      </c>
      <c r="O131" s="302">
        <f t="shared" si="97"/>
        <v>0</v>
      </c>
      <c r="P131" s="302">
        <f t="shared" si="98"/>
        <v>0</v>
      </c>
      <c r="Q131" s="302">
        <f t="shared" si="98"/>
        <v>0</v>
      </c>
      <c r="R131" s="302">
        <f t="shared" si="99"/>
        <v>66.666666666666671</v>
      </c>
      <c r="S131" s="302">
        <f t="shared" si="100"/>
        <v>0</v>
      </c>
      <c r="T131" s="302">
        <f t="shared" si="100"/>
        <v>0</v>
      </c>
      <c r="U131" s="303">
        <f t="shared" si="101"/>
        <v>200</v>
      </c>
      <c r="V131" s="214">
        <f t="shared" si="102"/>
        <v>0</v>
      </c>
      <c r="W131" s="322">
        <f t="shared" si="51"/>
        <v>0</v>
      </c>
    </row>
    <row r="132" spans="1:23" x14ac:dyDescent="0.2">
      <c r="A132" s="1111"/>
      <c r="B132" s="140" t="s">
        <v>580</v>
      </c>
      <c r="C132" s="108" t="s">
        <v>662</v>
      </c>
      <c r="D132" s="1006" t="s">
        <v>1077</v>
      </c>
      <c r="E132" s="248">
        <v>1680</v>
      </c>
      <c r="F132" s="249"/>
      <c r="H132" s="43" t="s">
        <v>293</v>
      </c>
      <c r="I132" s="302">
        <f t="shared" si="92"/>
        <v>560</v>
      </c>
      <c r="J132" s="302">
        <f t="shared" si="93"/>
        <v>0</v>
      </c>
      <c r="K132" s="302">
        <f t="shared" si="93"/>
        <v>0</v>
      </c>
      <c r="L132" s="302">
        <f t="shared" si="94"/>
        <v>0</v>
      </c>
      <c r="M132" s="302">
        <f t="shared" si="95"/>
        <v>0</v>
      </c>
      <c r="N132" s="302">
        <f t="shared" si="96"/>
        <v>560</v>
      </c>
      <c r="O132" s="302">
        <f t="shared" si="97"/>
        <v>0</v>
      </c>
      <c r="P132" s="302">
        <f t="shared" si="98"/>
        <v>0</v>
      </c>
      <c r="Q132" s="302">
        <f t="shared" si="98"/>
        <v>0</v>
      </c>
      <c r="R132" s="302">
        <f t="shared" si="99"/>
        <v>560</v>
      </c>
      <c r="S132" s="302">
        <f t="shared" si="100"/>
        <v>0</v>
      </c>
      <c r="T132" s="302">
        <f t="shared" si="100"/>
        <v>0</v>
      </c>
      <c r="U132" s="303">
        <f t="shared" si="101"/>
        <v>1680</v>
      </c>
      <c r="V132" s="214">
        <f t="shared" si="102"/>
        <v>0</v>
      </c>
      <c r="W132" s="322">
        <f t="shared" si="51"/>
        <v>0</v>
      </c>
    </row>
    <row r="133" spans="1:23" x14ac:dyDescent="0.2">
      <c r="A133" s="1111"/>
      <c r="B133" s="157">
        <v>2906</v>
      </c>
      <c r="C133" s="108" t="s">
        <v>590</v>
      </c>
      <c r="D133" s="1006" t="s">
        <v>1032</v>
      </c>
      <c r="E133" s="248">
        <v>261</v>
      </c>
      <c r="F133" s="249"/>
      <c r="H133" s="43" t="s">
        <v>293</v>
      </c>
      <c r="I133" s="302">
        <f t="shared" si="92"/>
        <v>87</v>
      </c>
      <c r="J133" s="302">
        <f t="shared" si="93"/>
        <v>0</v>
      </c>
      <c r="K133" s="302">
        <f t="shared" si="93"/>
        <v>0</v>
      </c>
      <c r="L133" s="302">
        <f t="shared" si="94"/>
        <v>0</v>
      </c>
      <c r="M133" s="302">
        <f t="shared" si="95"/>
        <v>0</v>
      </c>
      <c r="N133" s="302">
        <f t="shared" si="96"/>
        <v>87</v>
      </c>
      <c r="O133" s="302">
        <f t="shared" si="97"/>
        <v>0</v>
      </c>
      <c r="P133" s="302">
        <f t="shared" si="98"/>
        <v>0</v>
      </c>
      <c r="Q133" s="302">
        <f t="shared" si="98"/>
        <v>0</v>
      </c>
      <c r="R133" s="302">
        <f t="shared" si="99"/>
        <v>87</v>
      </c>
      <c r="S133" s="302">
        <f t="shared" si="100"/>
        <v>0</v>
      </c>
      <c r="T133" s="302">
        <f t="shared" si="100"/>
        <v>0</v>
      </c>
      <c r="U133" s="303">
        <f t="shared" si="101"/>
        <v>261</v>
      </c>
      <c r="V133" s="214">
        <f t="shared" si="102"/>
        <v>0</v>
      </c>
      <c r="W133" s="322">
        <f t="shared" si="51"/>
        <v>0</v>
      </c>
    </row>
    <row r="134" spans="1:23" x14ac:dyDescent="0.2">
      <c r="A134" s="1111"/>
      <c r="B134" s="157">
        <v>4016</v>
      </c>
      <c r="C134" s="108" t="s">
        <v>471</v>
      </c>
      <c r="D134" s="94"/>
      <c r="E134" s="248"/>
      <c r="F134" s="249"/>
      <c r="H134" s="43" t="s">
        <v>267</v>
      </c>
      <c r="I134" s="302" t="str">
        <f t="shared" si="92"/>
        <v/>
      </c>
      <c r="J134" s="302" t="str">
        <f t="shared" si="93"/>
        <v/>
      </c>
      <c r="K134" s="302" t="str">
        <f t="shared" si="93"/>
        <v/>
      </c>
      <c r="L134" s="302" t="str">
        <f t="shared" si="94"/>
        <v/>
      </c>
      <c r="M134" s="302" t="str">
        <f t="shared" si="95"/>
        <v/>
      </c>
      <c r="N134" s="302" t="str">
        <f t="shared" si="96"/>
        <v/>
      </c>
      <c r="O134" s="302" t="str">
        <f t="shared" si="97"/>
        <v/>
      </c>
      <c r="P134" s="302" t="str">
        <f t="shared" si="98"/>
        <v/>
      </c>
      <c r="Q134" s="302" t="str">
        <f t="shared" si="98"/>
        <v/>
      </c>
      <c r="R134" s="302" t="str">
        <f t="shared" si="99"/>
        <v/>
      </c>
      <c r="S134" s="302" t="str">
        <f t="shared" si="100"/>
        <v/>
      </c>
      <c r="T134" s="302" t="str">
        <f t="shared" si="100"/>
        <v/>
      </c>
      <c r="U134" s="303">
        <f t="shared" si="101"/>
        <v>0</v>
      </c>
      <c r="V134" s="214">
        <f t="shared" si="102"/>
        <v>0</v>
      </c>
      <c r="W134" s="322">
        <f t="shared" si="51"/>
        <v>0</v>
      </c>
    </row>
    <row r="135" spans="1:23" x14ac:dyDescent="0.2">
      <c r="A135" s="1111"/>
      <c r="B135" s="160">
        <v>4113</v>
      </c>
      <c r="C135" s="108" t="s">
        <v>472</v>
      </c>
      <c r="D135" s="94"/>
      <c r="E135" s="248"/>
      <c r="F135" s="249"/>
      <c r="H135" s="43" t="s">
        <v>267</v>
      </c>
      <c r="I135" s="302" t="str">
        <f t="shared" si="92"/>
        <v/>
      </c>
      <c r="J135" s="302" t="str">
        <f t="shared" si="93"/>
        <v/>
      </c>
      <c r="K135" s="302" t="str">
        <f t="shared" si="93"/>
        <v/>
      </c>
      <c r="L135" s="302" t="str">
        <f t="shared" si="94"/>
        <v/>
      </c>
      <c r="M135" s="302" t="str">
        <f t="shared" si="95"/>
        <v/>
      </c>
      <c r="N135" s="302" t="str">
        <f t="shared" si="96"/>
        <v/>
      </c>
      <c r="O135" s="302" t="str">
        <f t="shared" si="97"/>
        <v/>
      </c>
      <c r="P135" s="302" t="str">
        <f t="shared" si="98"/>
        <v/>
      </c>
      <c r="Q135" s="302" t="str">
        <f t="shared" si="98"/>
        <v/>
      </c>
      <c r="R135" s="302" t="str">
        <f t="shared" si="99"/>
        <v/>
      </c>
      <c r="S135" s="302" t="str">
        <f t="shared" si="100"/>
        <v/>
      </c>
      <c r="T135" s="302" t="str">
        <f t="shared" si="100"/>
        <v/>
      </c>
      <c r="U135" s="303">
        <f t="shared" si="101"/>
        <v>0</v>
      </c>
      <c r="V135" s="214">
        <f t="shared" si="102"/>
        <v>0</v>
      </c>
      <c r="W135" s="322">
        <f t="shared" si="51"/>
        <v>0</v>
      </c>
    </row>
    <row r="136" spans="1:23" x14ac:dyDescent="0.2">
      <c r="A136" s="1111"/>
      <c r="B136" s="169">
        <v>4203</v>
      </c>
      <c r="C136" s="148" t="s">
        <v>678</v>
      </c>
      <c r="D136" s="95"/>
      <c r="E136" s="250"/>
      <c r="F136" s="251"/>
      <c r="H136" s="43" t="s">
        <v>267</v>
      </c>
      <c r="I136" s="302" t="str">
        <f t="shared" si="92"/>
        <v/>
      </c>
      <c r="J136" s="302" t="str">
        <f t="shared" si="93"/>
        <v/>
      </c>
      <c r="K136" s="302" t="str">
        <f t="shared" si="93"/>
        <v/>
      </c>
      <c r="L136" s="302" t="str">
        <f t="shared" si="94"/>
        <v/>
      </c>
      <c r="M136" s="302" t="str">
        <f t="shared" si="95"/>
        <v/>
      </c>
      <c r="N136" s="302" t="str">
        <f t="shared" si="96"/>
        <v/>
      </c>
      <c r="O136" s="302" t="str">
        <f t="shared" si="97"/>
        <v/>
      </c>
      <c r="P136" s="302" t="str">
        <f t="shared" si="98"/>
        <v/>
      </c>
      <c r="Q136" s="302" t="str">
        <f t="shared" si="98"/>
        <v/>
      </c>
      <c r="R136" s="302" t="str">
        <f t="shared" si="99"/>
        <v/>
      </c>
      <c r="S136" s="302" t="str">
        <f t="shared" si="100"/>
        <v/>
      </c>
      <c r="T136" s="302" t="str">
        <f t="shared" si="100"/>
        <v/>
      </c>
      <c r="U136" s="303">
        <f t="shared" si="101"/>
        <v>0</v>
      </c>
      <c r="V136" s="214">
        <f t="shared" si="102"/>
        <v>0</v>
      </c>
      <c r="W136" s="322">
        <f t="shared" si="51"/>
        <v>0</v>
      </c>
    </row>
    <row r="137" spans="1:23" x14ac:dyDescent="0.2">
      <c r="A137" s="1111"/>
      <c r="B137" s="160">
        <v>2999</v>
      </c>
      <c r="C137" s="108" t="s">
        <v>1033</v>
      </c>
      <c r="D137" s="417" t="s">
        <v>1034</v>
      </c>
      <c r="E137" s="250">
        <v>1608</v>
      </c>
      <c r="F137" s="251"/>
      <c r="H137" s="43" t="s">
        <v>290</v>
      </c>
      <c r="I137" s="302">
        <f t="shared" si="92"/>
        <v>134</v>
      </c>
      <c r="J137" s="302">
        <f t="shared" si="93"/>
        <v>134</v>
      </c>
      <c r="K137" s="302">
        <f t="shared" si="93"/>
        <v>134</v>
      </c>
      <c r="L137" s="302">
        <f t="shared" si="94"/>
        <v>134</v>
      </c>
      <c r="M137" s="302">
        <f t="shared" si="95"/>
        <v>134</v>
      </c>
      <c r="N137" s="302">
        <f t="shared" si="96"/>
        <v>134</v>
      </c>
      <c r="O137" s="302">
        <f t="shared" si="97"/>
        <v>134</v>
      </c>
      <c r="P137" s="302">
        <f t="shared" si="98"/>
        <v>134</v>
      </c>
      <c r="Q137" s="302">
        <f t="shared" si="98"/>
        <v>134</v>
      </c>
      <c r="R137" s="302">
        <f t="shared" si="99"/>
        <v>134</v>
      </c>
      <c r="S137" s="302">
        <f t="shared" si="100"/>
        <v>134</v>
      </c>
      <c r="T137" s="302">
        <f t="shared" si="100"/>
        <v>134</v>
      </c>
      <c r="U137" s="303">
        <f t="shared" si="101"/>
        <v>1608</v>
      </c>
      <c r="V137" s="214">
        <f t="shared" si="102"/>
        <v>0</v>
      </c>
      <c r="W137" s="322">
        <f t="shared" si="51"/>
        <v>0</v>
      </c>
    </row>
    <row r="138" spans="1:23" ht="13.5" thickBot="1" x14ac:dyDescent="0.25">
      <c r="A138" s="1112"/>
      <c r="B138" s="142">
        <v>8388</v>
      </c>
      <c r="C138" s="144" t="s">
        <v>469</v>
      </c>
      <c r="D138" s="310"/>
      <c r="E138" s="309"/>
      <c r="F138" s="257">
        <f>SUM(E126:E138)</f>
        <v>3749</v>
      </c>
      <c r="H138" s="43" t="s">
        <v>267</v>
      </c>
      <c r="I138" s="302" t="str">
        <f t="shared" si="92"/>
        <v/>
      </c>
      <c r="J138" s="302" t="str">
        <f t="shared" si="93"/>
        <v/>
      </c>
      <c r="K138" s="302" t="str">
        <f t="shared" si="93"/>
        <v/>
      </c>
      <c r="L138" s="302" t="str">
        <f t="shared" si="94"/>
        <v/>
      </c>
      <c r="M138" s="302" t="str">
        <f t="shared" si="95"/>
        <v/>
      </c>
      <c r="N138" s="302" t="str">
        <f t="shared" si="96"/>
        <v/>
      </c>
      <c r="O138" s="302" t="str">
        <f t="shared" si="97"/>
        <v/>
      </c>
      <c r="P138" s="302" t="str">
        <f t="shared" si="98"/>
        <v/>
      </c>
      <c r="Q138" s="302" t="str">
        <f t="shared" si="98"/>
        <v/>
      </c>
      <c r="R138" s="302" t="str">
        <f t="shared" si="99"/>
        <v/>
      </c>
      <c r="S138" s="302" t="str">
        <f t="shared" si="100"/>
        <v/>
      </c>
      <c r="T138" s="302" t="str">
        <f t="shared" si="100"/>
        <v/>
      </c>
      <c r="U138" s="303">
        <f t="shared" si="101"/>
        <v>0</v>
      </c>
      <c r="V138" s="214">
        <f t="shared" si="102"/>
        <v>0</v>
      </c>
      <c r="W138" s="322">
        <f t="shared" si="51"/>
        <v>0</v>
      </c>
    </row>
    <row r="139" spans="1:23" ht="13.5" thickBot="1" x14ac:dyDescent="0.25">
      <c r="A139" s="45"/>
      <c r="B139" s="119"/>
      <c r="C139" s="111"/>
      <c r="D139" s="107"/>
      <c r="E139" s="267"/>
      <c r="F139" s="270"/>
      <c r="I139" s="306"/>
      <c r="J139" s="306"/>
      <c r="K139" s="306"/>
      <c r="L139" s="306"/>
      <c r="M139" s="306"/>
      <c r="N139" s="306"/>
      <c r="O139" s="306"/>
      <c r="P139" s="306"/>
      <c r="Q139" s="306"/>
      <c r="R139" s="306"/>
      <c r="S139" s="306"/>
      <c r="T139" s="306"/>
      <c r="U139" s="305"/>
      <c r="W139" s="322">
        <f t="shared" ref="W139:W198" si="103">ROUND(SUM(I139:T139)-U139,0)</f>
        <v>0</v>
      </c>
    </row>
    <row r="140" spans="1:23" x14ac:dyDescent="0.2">
      <c r="A140" s="1092" t="s">
        <v>1035</v>
      </c>
      <c r="B140" s="1007">
        <v>104</v>
      </c>
      <c r="C140" s="113" t="s">
        <v>1036</v>
      </c>
      <c r="D140" s="1005" t="s">
        <v>1037</v>
      </c>
      <c r="E140" s="246">
        <v>9008</v>
      </c>
      <c r="F140" s="247"/>
      <c r="H140" s="43" t="s">
        <v>290</v>
      </c>
      <c r="I140" s="302">
        <f>IF($H140="Monthly",$E140/12,IF($H140="Quarterly (From April)",$E140/4,IF($H140="Termly",$E140/3,IF($H140="Monthly (excl. August)",$E140/11,""))))</f>
        <v>750.66666666666663</v>
      </c>
      <c r="J140" s="302">
        <f t="shared" ref="J140:K143" si="104">IF($H140="Monthly",$E140/12,IF($H140="Quarterly (From April)",0,IF($H140="Termly",0,IF($H140="Monthly (excl. August)",$E140/11,""))))</f>
        <v>750.66666666666663</v>
      </c>
      <c r="K140" s="302">
        <f t="shared" si="104"/>
        <v>750.66666666666663</v>
      </c>
      <c r="L140" s="302">
        <f>IF($H140="Monthly",$E140/12,IF($H140="Quarterly (From April)",$E140/4,IF($H140="Termly",0,IF($H140="Monthly (excl. August)",$E140/11,""))))</f>
        <v>750.66666666666663</v>
      </c>
      <c r="M140" s="302">
        <f>IF($H140="Monthly",$E140/12,IF($H140="Quarterly (From April)",0,IF($H140="Termly",0,IF($H140="Monthly (excl. August)",0,""))))</f>
        <v>750.66666666666663</v>
      </c>
      <c r="N140" s="302">
        <f>IF($H140="Monthly",$E140/12,IF($H140="Quarterly (From April)",0,IF($H140="Termly",$E140/3,IF($H140="Monthly (excl. August)",$E140/11,""))))</f>
        <v>750.66666666666663</v>
      </c>
      <c r="O140" s="302">
        <f>IF($H140="Monthly",$E140/12,IF($H140="Quarterly (From April)",$E140/4,IF($H140="Termly",0,IF($H140="Monthly (excl. August)",$E140/11,""))))</f>
        <v>750.66666666666663</v>
      </c>
      <c r="P140" s="302">
        <f t="shared" ref="P140:Q143" si="105">IF($H140="Monthly",$E140/12,IF($H140="Quarterly (From April)",0,IF($H140="Termly",0,IF($H140="Monthly (excl. August)",$E140/11,""))))</f>
        <v>750.66666666666663</v>
      </c>
      <c r="Q140" s="302">
        <f t="shared" si="105"/>
        <v>750.66666666666663</v>
      </c>
      <c r="R140" s="302">
        <f>IF($H140="Monthly",$E140/12,IF($H140="Quarterly (From April)",$E140/4,IF($H140="Termly",$E140/3,IF($H140="Monthly (excl. August)",$E140/11,""))))</f>
        <v>750.66666666666663</v>
      </c>
      <c r="S140" s="302">
        <f t="shared" ref="S140:T143" si="106">IF($H140="Monthly",$E140/12,IF($H140="Quarterly (From April)",0,IF($H140="Termly",0,IF($H140="Monthly (excl. August)",$E140/11,""))))</f>
        <v>750.66666666666663</v>
      </c>
      <c r="T140" s="302">
        <f t="shared" si="106"/>
        <v>750.66666666666663</v>
      </c>
      <c r="U140" s="303">
        <f>E140</f>
        <v>9008</v>
      </c>
      <c r="V140" s="214">
        <f>IF(ROUND(SUM(I140:T140),0)&gt;U140,1,IF(ROUND(SUM(I140:T140),0)&lt;U140,1,0))</f>
        <v>0</v>
      </c>
      <c r="W140" s="322">
        <f t="shared" si="103"/>
        <v>0</v>
      </c>
    </row>
    <row r="141" spans="1:23" x14ac:dyDescent="0.2">
      <c r="A141" s="1130"/>
      <c r="B141" s="160"/>
      <c r="C141" s="108"/>
      <c r="D141" s="95"/>
      <c r="E141" s="250"/>
      <c r="F141" s="251"/>
      <c r="H141" s="43" t="s">
        <v>267</v>
      </c>
      <c r="I141" s="302" t="str">
        <f>IF($H141="Monthly",$E141/12,IF($H141="Quarterly (From April)",$E141/4,IF($H141="Termly",$E141/3,IF($H141="Monthly (excl. August)",$E141/11,""))))</f>
        <v/>
      </c>
      <c r="J141" s="302" t="str">
        <f t="shared" si="104"/>
        <v/>
      </c>
      <c r="K141" s="302" t="str">
        <f t="shared" si="104"/>
        <v/>
      </c>
      <c r="L141" s="302" t="str">
        <f>IF($H141="Monthly",$E141/12,IF($H141="Quarterly (From April)",$E141/4,IF($H141="Termly",0,IF($H141="Monthly (excl. August)",$E141/11,""))))</f>
        <v/>
      </c>
      <c r="M141" s="302" t="str">
        <f>IF($H141="Monthly",$E141/12,IF($H141="Quarterly (From April)",0,IF($H141="Termly",0,IF($H141="Monthly (excl. August)",0,""))))</f>
        <v/>
      </c>
      <c r="N141" s="302" t="str">
        <f>IF($H141="Monthly",$E141/12,IF($H141="Quarterly (From April)",0,IF($H141="Termly",$E141/3,IF($H141="Monthly (excl. August)",$E141/11,""))))</f>
        <v/>
      </c>
      <c r="O141" s="302" t="str">
        <f>IF($H141="Monthly",$E141/12,IF($H141="Quarterly (From April)",$E141/4,IF($H141="Termly",0,IF($H141="Monthly (excl. August)",$E141/11,""))))</f>
        <v/>
      </c>
      <c r="P141" s="302" t="str">
        <f t="shared" si="105"/>
        <v/>
      </c>
      <c r="Q141" s="302" t="str">
        <f t="shared" si="105"/>
        <v/>
      </c>
      <c r="R141" s="302" t="str">
        <f>IF($H141="Monthly",$E141/12,IF($H141="Quarterly (From April)",$E141/4,IF($H141="Termly",$E141/3,IF($H141="Monthly (excl. August)",$E141/11,""))))</f>
        <v/>
      </c>
      <c r="S141" s="302" t="str">
        <f t="shared" si="106"/>
        <v/>
      </c>
      <c r="T141" s="302" t="str">
        <f t="shared" si="106"/>
        <v/>
      </c>
      <c r="U141" s="303">
        <f>E141</f>
        <v>0</v>
      </c>
      <c r="V141" s="214">
        <f>IF(ROUND(SUM(I141:T141),0)&gt;U141,1,IF(ROUND(SUM(I141:T141),0)&lt;U141,1,0))</f>
        <v>0</v>
      </c>
      <c r="W141" s="322">
        <f t="shared" si="103"/>
        <v>0</v>
      </c>
    </row>
    <row r="142" spans="1:23" x14ac:dyDescent="0.2">
      <c r="A142" s="1130"/>
      <c r="B142" s="160"/>
      <c r="C142" s="108"/>
      <c r="D142" s="95"/>
      <c r="E142" s="250"/>
      <c r="F142" s="251"/>
      <c r="H142" s="43" t="s">
        <v>267</v>
      </c>
      <c r="I142" s="302" t="str">
        <f>IF($H142="Monthly",$E142/12,IF($H142="Quarterly (From April)",$E142/4,IF($H142="Termly",$E142/3,IF($H142="Monthly (excl. August)",$E142/11,""))))</f>
        <v/>
      </c>
      <c r="J142" s="302" t="str">
        <f t="shared" si="104"/>
        <v/>
      </c>
      <c r="K142" s="302" t="str">
        <f t="shared" si="104"/>
        <v/>
      </c>
      <c r="L142" s="302" t="str">
        <f>IF($H142="Monthly",$E142/12,IF($H142="Quarterly (From April)",$E142/4,IF($H142="Termly",0,IF($H142="Monthly (excl. August)",$E142/11,""))))</f>
        <v/>
      </c>
      <c r="M142" s="302" t="str">
        <f>IF($H142="Monthly",$E142/12,IF($H142="Quarterly (From April)",0,IF($H142="Termly",0,IF($H142="Monthly (excl. August)",0,""))))</f>
        <v/>
      </c>
      <c r="N142" s="302" t="str">
        <f>IF($H142="Monthly",$E142/12,IF($H142="Quarterly (From April)",0,IF($H142="Termly",$E142/3,IF($H142="Monthly (excl. August)",$E142/11,""))))</f>
        <v/>
      </c>
      <c r="O142" s="302" t="str">
        <f>IF($H142="Monthly",$E142/12,IF($H142="Quarterly (From April)",$E142/4,IF($H142="Termly",0,IF($H142="Monthly (excl. August)",$E142/11,""))))</f>
        <v/>
      </c>
      <c r="P142" s="302" t="str">
        <f t="shared" si="105"/>
        <v/>
      </c>
      <c r="Q142" s="302" t="str">
        <f t="shared" si="105"/>
        <v/>
      </c>
      <c r="R142" s="302" t="str">
        <f>IF($H142="Monthly",$E142/12,IF($H142="Quarterly (From April)",$E142/4,IF($H142="Termly",$E142/3,IF($H142="Monthly (excl. August)",$E142/11,""))))</f>
        <v/>
      </c>
      <c r="S142" s="302" t="str">
        <f t="shared" si="106"/>
        <v/>
      </c>
      <c r="T142" s="302" t="str">
        <f t="shared" si="106"/>
        <v/>
      </c>
      <c r="U142" s="303">
        <f>E142</f>
        <v>0</v>
      </c>
      <c r="V142" s="214">
        <f>IF(ROUND(SUM(I142:T142),0)&gt;U142,1,IF(ROUND(SUM(I142:T142),0)&lt;U142,1,0))</f>
        <v>0</v>
      </c>
      <c r="W142" s="322">
        <f t="shared" si="103"/>
        <v>0</v>
      </c>
    </row>
    <row r="143" spans="1:23" ht="13.5" thickBot="1" x14ac:dyDescent="0.25">
      <c r="A143" s="1131"/>
      <c r="B143" s="161"/>
      <c r="C143" s="109"/>
      <c r="D143" s="100"/>
      <c r="E143" s="256"/>
      <c r="F143" s="257">
        <f>SUM(E140:E143)</f>
        <v>9008</v>
      </c>
      <c r="H143" s="43" t="s">
        <v>267</v>
      </c>
      <c r="I143" s="302" t="str">
        <f>IF($H143="Monthly",$E143/12,IF($H143="Quarterly (From April)",$E143/4,IF($H143="Termly",$E143/3,IF($H143="Monthly (excl. August)",$E143/11,""))))</f>
        <v/>
      </c>
      <c r="J143" s="302" t="str">
        <f t="shared" si="104"/>
        <v/>
      </c>
      <c r="K143" s="302" t="str">
        <f t="shared" si="104"/>
        <v/>
      </c>
      <c r="L143" s="302" t="str">
        <f>IF($H143="Monthly",$E143/12,IF($H143="Quarterly (From April)",$E143/4,IF($H143="Termly",0,IF($H143="Monthly (excl. August)",$E143/11,""))))</f>
        <v/>
      </c>
      <c r="M143" s="302" t="str">
        <f>IF($H143="Monthly",$E143/12,IF($H143="Quarterly (From April)",0,IF($H143="Termly",0,IF($H143="Monthly (excl. August)",0,""))))</f>
        <v/>
      </c>
      <c r="N143" s="302" t="str">
        <f>IF($H143="Monthly",$E143/12,IF($H143="Quarterly (From April)",0,IF($H143="Termly",$E143/3,IF($H143="Monthly (excl. August)",$E143/11,""))))</f>
        <v/>
      </c>
      <c r="O143" s="302" t="str">
        <f>IF($H143="Monthly",$E143/12,IF($H143="Quarterly (From April)",$E143/4,IF($H143="Termly",0,IF($H143="Monthly (excl. August)",$E143/11,""))))</f>
        <v/>
      </c>
      <c r="P143" s="302" t="str">
        <f t="shared" si="105"/>
        <v/>
      </c>
      <c r="Q143" s="302" t="str">
        <f t="shared" si="105"/>
        <v/>
      </c>
      <c r="R143" s="302" t="str">
        <f>IF($H143="Monthly",$E143/12,IF($H143="Quarterly (From April)",$E143/4,IF($H143="Termly",$E143/3,IF($H143="Monthly (excl. August)",$E143/11,""))))</f>
        <v/>
      </c>
      <c r="S143" s="302" t="str">
        <f t="shared" si="106"/>
        <v/>
      </c>
      <c r="T143" s="302" t="str">
        <f t="shared" si="106"/>
        <v/>
      </c>
      <c r="U143" s="303">
        <f>E143</f>
        <v>0</v>
      </c>
      <c r="V143" s="214">
        <f>IF(ROUND(SUM(I143:T143),0)&gt;U143,1,IF(ROUND(SUM(I143:T143),0)&lt;U143,1,0))</f>
        <v>0</v>
      </c>
      <c r="W143" s="322">
        <f t="shared" si="103"/>
        <v>0</v>
      </c>
    </row>
    <row r="144" spans="1:23" ht="13.5" thickBot="1" x14ac:dyDescent="0.25">
      <c r="A144" s="45"/>
      <c r="B144" s="119"/>
      <c r="C144" s="111"/>
      <c r="D144" s="107"/>
      <c r="E144" s="267"/>
      <c r="F144" s="270"/>
      <c r="I144" s="306"/>
      <c r="J144" s="306"/>
      <c r="K144" s="306"/>
      <c r="L144" s="306"/>
      <c r="M144" s="306"/>
      <c r="N144" s="306"/>
      <c r="O144" s="306"/>
      <c r="P144" s="306"/>
      <c r="Q144" s="306"/>
      <c r="R144" s="306"/>
      <c r="S144" s="306"/>
      <c r="T144" s="306"/>
      <c r="U144" s="305"/>
      <c r="W144" s="322">
        <f t="shared" si="103"/>
        <v>0</v>
      </c>
    </row>
    <row r="145" spans="1:23" ht="12.75" customHeight="1" x14ac:dyDescent="0.2">
      <c r="A145" s="1092" t="s">
        <v>1038</v>
      </c>
      <c r="B145" s="170">
        <v>104</v>
      </c>
      <c r="C145" s="113" t="s">
        <v>1039</v>
      </c>
      <c r="D145" s="1005" t="s">
        <v>1074</v>
      </c>
      <c r="E145" s="246">
        <v>4026</v>
      </c>
      <c r="F145" s="247"/>
      <c r="H145" s="43" t="s">
        <v>290</v>
      </c>
      <c r="I145" s="302">
        <f>IF($H145="Monthly",$E145/12,IF($H145="Quarterly (From April)",$E145/4,IF($H145="Termly",$E145/3,IF($H145="Monthly (excl. August)",$E145/11,""))))</f>
        <v>335.5</v>
      </c>
      <c r="J145" s="302">
        <f t="shared" ref="J145:K148" si="107">IF($H145="Monthly",$E145/12,IF($H145="Quarterly (From April)",0,IF($H145="Termly",0,IF($H145="Monthly (excl. August)",$E145/11,""))))</f>
        <v>335.5</v>
      </c>
      <c r="K145" s="302">
        <f t="shared" si="107"/>
        <v>335.5</v>
      </c>
      <c r="L145" s="302">
        <f>IF($H145="Monthly",$E145/12,IF($H145="Quarterly (From April)",$E145/4,IF($H145="Termly",0,IF($H145="Monthly (excl. August)",$E145/11,""))))</f>
        <v>335.5</v>
      </c>
      <c r="M145" s="302">
        <f>IF($H145="Monthly",$E145/12,IF($H145="Quarterly (From April)",0,IF($H145="Termly",0,IF($H145="Monthly (excl. August)",0,""))))</f>
        <v>335.5</v>
      </c>
      <c r="N145" s="302">
        <f>IF($H145="Monthly",$E145/12,IF($H145="Quarterly (From April)",0,IF($H145="Termly",$E145/3,IF($H145="Monthly (excl. August)",$E145/11,""))))</f>
        <v>335.5</v>
      </c>
      <c r="O145" s="302">
        <f>IF($H145="Monthly",$E145/12,IF($H145="Quarterly (From April)",$E145/4,IF($H145="Termly",0,IF($H145="Monthly (excl. August)",$E145/11,""))))</f>
        <v>335.5</v>
      </c>
      <c r="P145" s="302">
        <f t="shared" ref="P145:Q148" si="108">IF($H145="Monthly",$E145/12,IF($H145="Quarterly (From April)",0,IF($H145="Termly",0,IF($H145="Monthly (excl. August)",$E145/11,""))))</f>
        <v>335.5</v>
      </c>
      <c r="Q145" s="302">
        <f t="shared" si="108"/>
        <v>335.5</v>
      </c>
      <c r="R145" s="302">
        <f>IF($H145="Monthly",$E145/12,IF($H145="Quarterly (From April)",$E145/4,IF($H145="Termly",$E145/3,IF($H145="Monthly (excl. August)",$E145/11,""))))</f>
        <v>335.5</v>
      </c>
      <c r="S145" s="302">
        <f t="shared" ref="S145:T148" si="109">IF($H145="Monthly",$E145/12,IF($H145="Quarterly (From April)",0,IF($H145="Termly",0,IF($H145="Monthly (excl. August)",$E145/11,""))))</f>
        <v>335.5</v>
      </c>
      <c r="T145" s="302">
        <f t="shared" si="109"/>
        <v>335.5</v>
      </c>
      <c r="U145" s="303">
        <f>E145</f>
        <v>4026</v>
      </c>
      <c r="V145" s="214">
        <f>IF(ROUND(SUM(I145:T145),0)&gt;U145,1,IF(ROUND(SUM(I145:T145),0)&lt;U145,1,0))</f>
        <v>0</v>
      </c>
      <c r="W145" s="322">
        <f t="shared" si="103"/>
        <v>0</v>
      </c>
    </row>
    <row r="146" spans="1:23" x14ac:dyDescent="0.2">
      <c r="A146" s="1130"/>
      <c r="B146" s="160"/>
      <c r="C146" s="108"/>
      <c r="D146" s="417"/>
      <c r="E146" s="250"/>
      <c r="F146" s="251"/>
      <c r="H146" s="43" t="s">
        <v>291</v>
      </c>
      <c r="I146" s="302">
        <v>458</v>
      </c>
      <c r="J146" s="302">
        <v>458</v>
      </c>
      <c r="K146" s="302" t="str">
        <f t="shared" si="107"/>
        <v/>
      </c>
      <c r="L146" s="302" t="str">
        <f>IF($H146="Monthly",$E146/12,IF($H146="Quarterly (From April)",$E146/4,IF($H146="Termly",0,IF($H146="Monthly (excl. August)",$E146/11,""))))</f>
        <v/>
      </c>
      <c r="M146" s="302" t="str">
        <f>IF($H146="Monthly",$E146/12,IF($H146="Quarterly (From April)",0,IF($H146="Termly",0,IF($H146="Monthly (excl. August)",0,""))))</f>
        <v/>
      </c>
      <c r="N146" s="302" t="str">
        <f>IF($H146="Monthly",$E146/12,IF($H146="Quarterly (From April)",0,IF($H146="Termly",$E146/3,IF($H146="Monthly (excl. August)",$E146/11,""))))</f>
        <v/>
      </c>
      <c r="O146" s="302" t="str">
        <f>IF($H146="Monthly",$E146/12,IF($H146="Quarterly (From April)",$E146/4,IF($H146="Termly",0,IF($H146="Monthly (excl. August)",$E146/11,""))))</f>
        <v/>
      </c>
      <c r="P146" s="302" t="str">
        <f t="shared" si="108"/>
        <v/>
      </c>
      <c r="Q146" s="302" t="str">
        <f t="shared" si="108"/>
        <v/>
      </c>
      <c r="R146" s="302" t="str">
        <f>IF($H146="Monthly",$E146/12,IF($H146="Quarterly (From April)",$E146/4,IF($H146="Termly",$E146/3,IF($H146="Monthly (excl. August)",$E146/11,""))))</f>
        <v/>
      </c>
      <c r="S146" s="302" t="str">
        <f t="shared" si="109"/>
        <v/>
      </c>
      <c r="T146" s="302" t="str">
        <f t="shared" si="109"/>
        <v/>
      </c>
      <c r="U146" s="303">
        <f>E146</f>
        <v>0</v>
      </c>
      <c r="V146" s="214">
        <f>IF(ROUND(SUM(I146:T146),0)&gt;U146,1,IF(ROUND(SUM(I146:T146),0)&lt;U146,1,0))</f>
        <v>1</v>
      </c>
      <c r="W146" s="322">
        <f t="shared" si="103"/>
        <v>916</v>
      </c>
    </row>
    <row r="147" spans="1:23" x14ac:dyDescent="0.2">
      <c r="A147" s="1130"/>
      <c r="B147" s="160"/>
      <c r="C147" s="108"/>
      <c r="D147" s="95"/>
      <c r="E147" s="250"/>
      <c r="F147" s="251"/>
      <c r="H147" s="43" t="s">
        <v>267</v>
      </c>
      <c r="I147" s="302" t="str">
        <f>IF($H147="Monthly",$E147/12,IF($H147="Quarterly (From April)",$E147/4,IF($H147="Termly",$E147/3,IF($H147="Monthly (excl. August)",$E147/11,""))))</f>
        <v/>
      </c>
      <c r="J147" s="302" t="str">
        <f t="shared" si="107"/>
        <v/>
      </c>
      <c r="K147" s="302" t="str">
        <f t="shared" si="107"/>
        <v/>
      </c>
      <c r="L147" s="302" t="str">
        <f>IF($H147="Monthly",$E147/12,IF($H147="Quarterly (From April)",$E147/4,IF($H147="Termly",0,IF($H147="Monthly (excl. August)",$E147/11,""))))</f>
        <v/>
      </c>
      <c r="M147" s="302" t="str">
        <f>IF($H147="Monthly",$E147/12,IF($H147="Quarterly (From April)",0,IF($H147="Termly",0,IF($H147="Monthly (excl. August)",0,""))))</f>
        <v/>
      </c>
      <c r="N147" s="302" t="str">
        <f>IF($H147="Monthly",$E147/12,IF($H147="Quarterly (From April)",0,IF($H147="Termly",$E147/3,IF($H147="Monthly (excl. August)",$E147/11,""))))</f>
        <v/>
      </c>
      <c r="O147" s="302" t="str">
        <f>IF($H147="Monthly",$E147/12,IF($H147="Quarterly (From April)",$E147/4,IF($H147="Termly",0,IF($H147="Monthly (excl. August)",$E147/11,""))))</f>
        <v/>
      </c>
      <c r="P147" s="302" t="str">
        <f t="shared" si="108"/>
        <v/>
      </c>
      <c r="Q147" s="302" t="str">
        <f t="shared" si="108"/>
        <v/>
      </c>
      <c r="R147" s="302" t="str">
        <f>IF($H147="Monthly",$E147/12,IF($H147="Quarterly (From April)",$E147/4,IF($H147="Termly",$E147/3,IF($H147="Monthly (excl. August)",$E147/11,""))))</f>
        <v/>
      </c>
      <c r="S147" s="302" t="str">
        <f t="shared" si="109"/>
        <v/>
      </c>
      <c r="T147" s="302" t="str">
        <f t="shared" si="109"/>
        <v/>
      </c>
      <c r="U147" s="303">
        <f>E147</f>
        <v>0</v>
      </c>
      <c r="V147" s="214">
        <f>IF(ROUND(SUM(I147:T147),0)&gt;U147,1,IF(ROUND(SUM(I147:T147),0)&lt;U147,1,0))</f>
        <v>0</v>
      </c>
      <c r="W147" s="322">
        <f t="shared" si="103"/>
        <v>0</v>
      </c>
    </row>
    <row r="148" spans="1:23" ht="13.5" thickBot="1" x14ac:dyDescent="0.25">
      <c r="A148" s="1131"/>
      <c r="B148" s="161"/>
      <c r="C148" s="109"/>
      <c r="D148" s="100"/>
      <c r="E148" s="256"/>
      <c r="F148" s="257">
        <f>SUM(E145:E148)</f>
        <v>4026</v>
      </c>
      <c r="H148" s="43" t="s">
        <v>267</v>
      </c>
      <c r="I148" s="302" t="str">
        <f>IF($H148="Monthly",$E148/12,IF($H148="Quarterly (From April)",$E148/4,IF($H148="Termly",$E148/3,IF($H148="Monthly (excl. August)",$E148/11,""))))</f>
        <v/>
      </c>
      <c r="J148" s="302" t="str">
        <f t="shared" si="107"/>
        <v/>
      </c>
      <c r="K148" s="302" t="str">
        <f t="shared" si="107"/>
        <v/>
      </c>
      <c r="L148" s="302" t="str">
        <f>IF($H148="Monthly",$E148/12,IF($H148="Quarterly (From April)",$E148/4,IF($H148="Termly",0,IF($H148="Monthly (excl. August)",$E148/11,""))))</f>
        <v/>
      </c>
      <c r="M148" s="302" t="str">
        <f>IF($H148="Monthly",$E148/12,IF($H148="Quarterly (From April)",0,IF($H148="Termly",0,IF($H148="Monthly (excl. August)",0,""))))</f>
        <v/>
      </c>
      <c r="N148" s="302" t="str">
        <f>IF($H148="Monthly",$E148/12,IF($H148="Quarterly (From April)",0,IF($H148="Termly",$E148/3,IF($H148="Monthly (excl. August)",$E148/11,""))))</f>
        <v/>
      </c>
      <c r="O148" s="302" t="str">
        <f>IF($H148="Monthly",$E148/12,IF($H148="Quarterly (From April)",$E148/4,IF($H148="Termly",0,IF($H148="Monthly (excl. August)",$E148/11,""))))</f>
        <v/>
      </c>
      <c r="P148" s="302" t="str">
        <f t="shared" si="108"/>
        <v/>
      </c>
      <c r="Q148" s="302" t="str">
        <f t="shared" si="108"/>
        <v/>
      </c>
      <c r="R148" s="302" t="str">
        <f>IF($H148="Monthly",$E148/12,IF($H148="Quarterly (From April)",$E148/4,IF($H148="Termly",$E148/3,IF($H148="Monthly (excl. August)",$E148/11,""))))</f>
        <v/>
      </c>
      <c r="S148" s="302" t="str">
        <f t="shared" si="109"/>
        <v/>
      </c>
      <c r="T148" s="302" t="str">
        <f t="shared" si="109"/>
        <v/>
      </c>
      <c r="U148" s="303">
        <f>E148</f>
        <v>0</v>
      </c>
      <c r="V148" s="214">
        <f>IF(ROUND(SUM(I148:T148),0)&gt;U148,1,IF(ROUND(SUM(I148:T148),0)&lt;U148,1,0))</f>
        <v>0</v>
      </c>
      <c r="W148" s="322">
        <f t="shared" si="103"/>
        <v>0</v>
      </c>
    </row>
    <row r="149" spans="1:23" ht="13.5" thickBot="1" x14ac:dyDescent="0.25">
      <c r="A149" s="45"/>
      <c r="B149" s="119"/>
      <c r="C149" s="111"/>
      <c r="D149" s="107"/>
      <c r="E149" s="267"/>
      <c r="F149" s="270"/>
      <c r="I149" s="306"/>
      <c r="J149" s="306"/>
      <c r="K149" s="306"/>
      <c r="L149" s="306"/>
      <c r="M149" s="306"/>
      <c r="N149" s="306"/>
      <c r="O149" s="306"/>
      <c r="P149" s="306"/>
      <c r="Q149" s="306"/>
      <c r="R149" s="306"/>
      <c r="S149" s="306"/>
      <c r="T149" s="306"/>
      <c r="U149" s="305"/>
      <c r="W149" s="322">
        <f t="shared" si="103"/>
        <v>0</v>
      </c>
    </row>
    <row r="150" spans="1:23" ht="12.75" customHeight="1" x14ac:dyDescent="0.2">
      <c r="A150" s="1092" t="s">
        <v>265</v>
      </c>
      <c r="B150" s="170"/>
      <c r="C150" s="113"/>
      <c r="D150" s="93"/>
      <c r="E150" s="246"/>
      <c r="F150" s="247"/>
      <c r="H150" s="43" t="s">
        <v>267</v>
      </c>
      <c r="I150" s="302" t="str">
        <f>IF($H150="Monthly",$E150/12,IF($H150="Quarterly (From April)",$E150/4,IF($H150="Termly",$E150/3,IF($H150="Monthly (excl. August)",$E150/11,""))))</f>
        <v/>
      </c>
      <c r="J150" s="302" t="str">
        <f t="shared" ref="J150:K153" si="110">IF($H150="Monthly",$E150/12,IF($H150="Quarterly (From April)",0,IF($H150="Termly",0,IF($H150="Monthly (excl. August)",$E150/11,""))))</f>
        <v/>
      </c>
      <c r="K150" s="302" t="str">
        <f t="shared" si="110"/>
        <v/>
      </c>
      <c r="L150" s="302" t="str">
        <f>IF($H150="Monthly",$E150/12,IF($H150="Quarterly (From April)",$E150/4,IF($H150="Termly",0,IF($H150="Monthly (excl. August)",$E150/11,""))))</f>
        <v/>
      </c>
      <c r="M150" s="302" t="str">
        <f>IF($H150="Monthly",$E150/12,IF($H150="Quarterly (From April)",0,IF($H150="Termly",0,IF($H150="Monthly (excl. August)",0,""))))</f>
        <v/>
      </c>
      <c r="N150" s="302" t="str">
        <f>IF($H150="Monthly",$E150/12,IF($H150="Quarterly (From April)",0,IF($H150="Termly",$E150/3,IF($H150="Monthly (excl. August)",$E150/11,""))))</f>
        <v/>
      </c>
      <c r="O150" s="302" t="str">
        <f>IF($H150="Monthly",$E150/12,IF($H150="Quarterly (From April)",$E150/4,IF($H150="Termly",0,IF($H150="Monthly (excl. August)",$E150/11,""))))</f>
        <v/>
      </c>
      <c r="P150" s="302" t="str">
        <f t="shared" ref="P150:Q153" si="111">IF($H150="Monthly",$E150/12,IF($H150="Quarterly (From April)",0,IF($H150="Termly",0,IF($H150="Monthly (excl. August)",$E150/11,""))))</f>
        <v/>
      </c>
      <c r="Q150" s="302" t="str">
        <f t="shared" si="111"/>
        <v/>
      </c>
      <c r="R150" s="302" t="str">
        <f>IF($H150="Monthly",$E150/12,IF($H150="Quarterly (From April)",$E150/4,IF($H150="Termly",$E150/3,IF($H150="Monthly (excl. August)",$E150/11,""))))</f>
        <v/>
      </c>
      <c r="S150" s="302" t="str">
        <f t="shared" ref="S150:T153" si="112">IF($H150="Monthly",$E150/12,IF($H150="Quarterly (From April)",0,IF($H150="Termly",0,IF($H150="Monthly (excl. August)",$E150/11,""))))</f>
        <v/>
      </c>
      <c r="T150" s="302" t="str">
        <f t="shared" si="112"/>
        <v/>
      </c>
      <c r="U150" s="303">
        <f>E150</f>
        <v>0</v>
      </c>
      <c r="V150" s="214">
        <f>IF(ROUND(SUM(I150:T150),0)&gt;U150,1,IF(ROUND(SUM(I150:T150),0)&lt;U150,1,0))</f>
        <v>0</v>
      </c>
      <c r="W150" s="322">
        <f t="shared" si="103"/>
        <v>0</v>
      </c>
    </row>
    <row r="151" spans="1:23" x14ac:dyDescent="0.2">
      <c r="A151" s="1130"/>
      <c r="B151" s="160"/>
      <c r="C151" s="108"/>
      <c r="D151" s="95"/>
      <c r="E151" s="250"/>
      <c r="F151" s="251"/>
      <c r="H151" s="43" t="s">
        <v>267</v>
      </c>
      <c r="I151" s="302" t="str">
        <f>IF($H151="Monthly",$E151/12,IF($H151="Quarterly (From April)",$E151/4,IF($H151="Termly",$E151/3,IF($H151="Monthly (excl. August)",$E151/11,""))))</f>
        <v/>
      </c>
      <c r="J151" s="302" t="str">
        <f t="shared" si="110"/>
        <v/>
      </c>
      <c r="K151" s="302" t="str">
        <f t="shared" si="110"/>
        <v/>
      </c>
      <c r="L151" s="302" t="str">
        <f>IF($H151="Monthly",$E151/12,IF($H151="Quarterly (From April)",$E151/4,IF($H151="Termly",0,IF($H151="Monthly (excl. August)",$E151/11,""))))</f>
        <v/>
      </c>
      <c r="M151" s="302" t="str">
        <f>IF($H151="Monthly",$E151/12,IF($H151="Quarterly (From April)",0,IF($H151="Termly",0,IF($H151="Monthly (excl. August)",0,""))))</f>
        <v/>
      </c>
      <c r="N151" s="302" t="str">
        <f>IF($H151="Monthly",$E151/12,IF($H151="Quarterly (From April)",0,IF($H151="Termly",$E151/3,IF($H151="Monthly (excl. August)",$E151/11,""))))</f>
        <v/>
      </c>
      <c r="O151" s="302" t="str">
        <f>IF($H151="Monthly",$E151/12,IF($H151="Quarterly (From April)",$E151/4,IF($H151="Termly",0,IF($H151="Monthly (excl. August)",$E151/11,""))))</f>
        <v/>
      </c>
      <c r="P151" s="302" t="str">
        <f t="shared" si="111"/>
        <v/>
      </c>
      <c r="Q151" s="302" t="str">
        <f t="shared" si="111"/>
        <v/>
      </c>
      <c r="R151" s="302" t="str">
        <f>IF($H151="Monthly",$E151/12,IF($H151="Quarterly (From April)",$E151/4,IF($H151="Termly",$E151/3,IF($H151="Monthly (excl. August)",$E151/11,""))))</f>
        <v/>
      </c>
      <c r="S151" s="302" t="str">
        <f t="shared" si="112"/>
        <v/>
      </c>
      <c r="T151" s="302" t="str">
        <f t="shared" si="112"/>
        <v/>
      </c>
      <c r="U151" s="303">
        <f>E151</f>
        <v>0</v>
      </c>
      <c r="V151" s="214">
        <f>IF(ROUND(SUM(I151:T151),0)&gt;U151,1,IF(ROUND(SUM(I151:T151),0)&lt;U151,1,0))</f>
        <v>0</v>
      </c>
      <c r="W151" s="322">
        <f t="shared" si="103"/>
        <v>0</v>
      </c>
    </row>
    <row r="152" spans="1:23" x14ac:dyDescent="0.2">
      <c r="A152" s="1130"/>
      <c r="B152" s="160"/>
      <c r="C152" s="108"/>
      <c r="D152" s="95"/>
      <c r="E152" s="250"/>
      <c r="F152" s="251"/>
      <c r="H152" s="43" t="s">
        <v>267</v>
      </c>
      <c r="I152" s="302" t="str">
        <f>IF($H152="Monthly",$E152/12,IF($H152="Quarterly (From April)",$E152/4,IF($H152="Termly",$E152/3,IF($H152="Monthly (excl. August)",$E152/11,""))))</f>
        <v/>
      </c>
      <c r="J152" s="302" t="str">
        <f t="shared" si="110"/>
        <v/>
      </c>
      <c r="K152" s="302" t="str">
        <f t="shared" si="110"/>
        <v/>
      </c>
      <c r="L152" s="302" t="str">
        <f>IF($H152="Monthly",$E152/12,IF($H152="Quarterly (From April)",$E152/4,IF($H152="Termly",0,IF($H152="Monthly (excl. August)",$E152/11,""))))</f>
        <v/>
      </c>
      <c r="M152" s="302" t="str">
        <f>IF($H152="Monthly",$E152/12,IF($H152="Quarterly (From April)",0,IF($H152="Termly",0,IF($H152="Monthly (excl. August)",0,""))))</f>
        <v/>
      </c>
      <c r="N152" s="302" t="str">
        <f>IF($H152="Monthly",$E152/12,IF($H152="Quarterly (From April)",0,IF($H152="Termly",$E152/3,IF($H152="Monthly (excl. August)",$E152/11,""))))</f>
        <v/>
      </c>
      <c r="O152" s="302" t="str">
        <f>IF($H152="Monthly",$E152/12,IF($H152="Quarterly (From April)",$E152/4,IF($H152="Termly",0,IF($H152="Monthly (excl. August)",$E152/11,""))))</f>
        <v/>
      </c>
      <c r="P152" s="302" t="str">
        <f t="shared" si="111"/>
        <v/>
      </c>
      <c r="Q152" s="302" t="str">
        <f t="shared" si="111"/>
        <v/>
      </c>
      <c r="R152" s="302" t="str">
        <f>IF($H152="Monthly",$E152/12,IF($H152="Quarterly (From April)",$E152/4,IF($H152="Termly",$E152/3,IF($H152="Monthly (excl. August)",$E152/11,""))))</f>
        <v/>
      </c>
      <c r="S152" s="302" t="str">
        <f t="shared" si="112"/>
        <v/>
      </c>
      <c r="T152" s="302" t="str">
        <f t="shared" si="112"/>
        <v/>
      </c>
      <c r="U152" s="303">
        <f>E152</f>
        <v>0</v>
      </c>
      <c r="V152" s="214">
        <f>IF(ROUND(SUM(I152:T152),0)&gt;U152,1,IF(ROUND(SUM(I152:T152),0)&lt;U152,1,0))</f>
        <v>0</v>
      </c>
      <c r="W152" s="322">
        <f t="shared" si="103"/>
        <v>0</v>
      </c>
    </row>
    <row r="153" spans="1:23" ht="13.5" thickBot="1" x14ac:dyDescent="0.25">
      <c r="A153" s="1131"/>
      <c r="B153" s="161"/>
      <c r="C153" s="109"/>
      <c r="D153" s="100"/>
      <c r="E153" s="256"/>
      <c r="F153" s="257">
        <f>SUM(E150:E153)</f>
        <v>0</v>
      </c>
      <c r="H153" s="43" t="s">
        <v>267</v>
      </c>
      <c r="I153" s="302" t="str">
        <f>IF($H153="Monthly",$E153/12,IF($H153="Quarterly (From April)",$E153/4,IF($H153="Termly",$E153/3,IF($H153="Monthly (excl. August)",$E153/11,""))))</f>
        <v/>
      </c>
      <c r="J153" s="302" t="str">
        <f t="shared" si="110"/>
        <v/>
      </c>
      <c r="K153" s="302" t="str">
        <f t="shared" si="110"/>
        <v/>
      </c>
      <c r="L153" s="302" t="str">
        <f>IF($H153="Monthly",$E153/12,IF($H153="Quarterly (From April)",$E153/4,IF($H153="Termly",0,IF($H153="Monthly (excl. August)",$E153/11,""))))</f>
        <v/>
      </c>
      <c r="M153" s="302" t="str">
        <f>IF($H153="Monthly",$E153/12,IF($H153="Quarterly (From April)",0,IF($H153="Termly",0,IF($H153="Monthly (excl. August)",0,""))))</f>
        <v/>
      </c>
      <c r="N153" s="302" t="str">
        <f>IF($H153="Monthly",$E153/12,IF($H153="Quarterly (From April)",0,IF($H153="Termly",$E153/3,IF($H153="Monthly (excl. August)",$E153/11,""))))</f>
        <v/>
      </c>
      <c r="O153" s="302" t="str">
        <f>IF($H153="Monthly",$E153/12,IF($H153="Quarterly (From April)",$E153/4,IF($H153="Termly",0,IF($H153="Monthly (excl. August)",$E153/11,""))))</f>
        <v/>
      </c>
      <c r="P153" s="302" t="str">
        <f t="shared" si="111"/>
        <v/>
      </c>
      <c r="Q153" s="302" t="str">
        <f t="shared" si="111"/>
        <v/>
      </c>
      <c r="R153" s="302" t="str">
        <f>IF($H153="Monthly",$E153/12,IF($H153="Quarterly (From April)",$E153/4,IF($H153="Termly",$E153/3,IF($H153="Monthly (excl. August)",$E153/11,""))))</f>
        <v/>
      </c>
      <c r="S153" s="302" t="str">
        <f t="shared" si="112"/>
        <v/>
      </c>
      <c r="T153" s="302" t="str">
        <f t="shared" si="112"/>
        <v/>
      </c>
      <c r="U153" s="303">
        <f>E153</f>
        <v>0</v>
      </c>
      <c r="V153" s="214">
        <f>IF(ROUND(SUM(I153:T153),0)&gt;U153,1,IF(ROUND(SUM(I153:T153),0)&lt;U153,1,0))</f>
        <v>0</v>
      </c>
      <c r="W153" s="322">
        <f t="shared" si="103"/>
        <v>0</v>
      </c>
    </row>
    <row r="154" spans="1:23" ht="13.5" thickBot="1" x14ac:dyDescent="0.25">
      <c r="A154" s="45"/>
      <c r="B154" s="119"/>
      <c r="C154" s="111"/>
      <c r="D154" s="107"/>
      <c r="E154" s="937"/>
      <c r="F154" s="938"/>
      <c r="I154" s="306"/>
      <c r="J154" s="306"/>
      <c r="K154" s="306"/>
      <c r="L154" s="306"/>
      <c r="M154" s="306"/>
      <c r="N154" s="306"/>
      <c r="O154" s="306"/>
      <c r="P154" s="306"/>
      <c r="Q154" s="306"/>
      <c r="R154" s="306"/>
      <c r="S154" s="306"/>
      <c r="T154" s="306"/>
      <c r="U154" s="305"/>
      <c r="W154" s="322">
        <f t="shared" si="103"/>
        <v>0</v>
      </c>
    </row>
    <row r="155" spans="1:23" ht="12.75" customHeight="1" x14ac:dyDescent="0.2">
      <c r="A155" s="1092" t="s">
        <v>265</v>
      </c>
      <c r="B155" s="170"/>
      <c r="C155" s="113"/>
      <c r="D155" s="93"/>
      <c r="E155" s="246"/>
      <c r="F155" s="247"/>
      <c r="H155" s="43" t="s">
        <v>267</v>
      </c>
      <c r="I155" s="302" t="str">
        <f>IF($H155="Monthly",$E155/12,IF($H155="Quarterly (From April)",$E155/4,IF($H155="Termly",$E155/3,IF($H155="Monthly (excl. August)",$E155/11,""))))</f>
        <v/>
      </c>
      <c r="J155" s="302" t="str">
        <f t="shared" ref="J155:K158" si="113">IF($H155="Monthly",$E155/12,IF($H155="Quarterly (From April)",0,IF($H155="Termly",0,IF($H155="Monthly (excl. August)",$E155/11,""))))</f>
        <v/>
      </c>
      <c r="K155" s="302" t="str">
        <f t="shared" si="113"/>
        <v/>
      </c>
      <c r="L155" s="302" t="str">
        <f>IF($H155="Monthly",$E155/12,IF($H155="Quarterly (From April)",$E155/4,IF($H155="Termly",0,IF($H155="Monthly (excl. August)",$E155/11,""))))</f>
        <v/>
      </c>
      <c r="M155" s="302" t="str">
        <f>IF($H155="Monthly",$E155/12,IF($H155="Quarterly (From April)",0,IF($H155="Termly",0,IF($H155="Monthly (excl. August)",0,""))))</f>
        <v/>
      </c>
      <c r="N155" s="302" t="str">
        <f>IF($H155="Monthly",$E155/12,IF($H155="Quarterly (From April)",0,IF($H155="Termly",$E155/3,IF($H155="Monthly (excl. August)",$E155/11,""))))</f>
        <v/>
      </c>
      <c r="O155" s="302" t="str">
        <f>IF($H155="Monthly",$E155/12,IF($H155="Quarterly (From April)",$E155/4,IF($H155="Termly",0,IF($H155="Monthly (excl. August)",$E155/11,""))))</f>
        <v/>
      </c>
      <c r="P155" s="302" t="str">
        <f t="shared" ref="P155:Q158" si="114">IF($H155="Monthly",$E155/12,IF($H155="Quarterly (From April)",0,IF($H155="Termly",0,IF($H155="Monthly (excl. August)",$E155/11,""))))</f>
        <v/>
      </c>
      <c r="Q155" s="302" t="str">
        <f t="shared" si="114"/>
        <v/>
      </c>
      <c r="R155" s="302" t="str">
        <f>IF($H155="Monthly",$E155/12,IF($H155="Quarterly (From April)",$E155/4,IF($H155="Termly",$E155/3,IF($H155="Monthly (excl. August)",$E155/11,""))))</f>
        <v/>
      </c>
      <c r="S155" s="302" t="str">
        <f t="shared" ref="S155:T158" si="115">IF($H155="Monthly",$E155/12,IF($H155="Quarterly (From April)",0,IF($H155="Termly",0,IF($H155="Monthly (excl. August)",$E155/11,""))))</f>
        <v/>
      </c>
      <c r="T155" s="302" t="str">
        <f t="shared" si="115"/>
        <v/>
      </c>
      <c r="U155" s="303">
        <f>E155</f>
        <v>0</v>
      </c>
      <c r="V155" s="214">
        <f>IF(ROUND(SUM(I155:T155),0)&gt;U155,1,IF(ROUND(SUM(I155:T155),0)&lt;U155,1,0))</f>
        <v>0</v>
      </c>
      <c r="W155" s="322">
        <f t="shared" si="103"/>
        <v>0</v>
      </c>
    </row>
    <row r="156" spans="1:23" x14ac:dyDescent="0.2">
      <c r="A156" s="1093"/>
      <c r="B156" s="160"/>
      <c r="C156" s="108"/>
      <c r="D156" s="95"/>
      <c r="E156" s="250"/>
      <c r="F156" s="251"/>
      <c r="H156" s="43" t="s">
        <v>267</v>
      </c>
      <c r="I156" s="302" t="str">
        <f>IF($H156="Monthly",$E156/12,IF($H156="Quarterly (From April)",$E156/4,IF($H156="Termly",$E156/3,IF($H156="Monthly (excl. August)",$E156/11,""))))</f>
        <v/>
      </c>
      <c r="J156" s="302" t="str">
        <f t="shared" si="113"/>
        <v/>
      </c>
      <c r="K156" s="302" t="str">
        <f t="shared" si="113"/>
        <v/>
      </c>
      <c r="L156" s="302" t="str">
        <f>IF($H156="Monthly",$E156/12,IF($H156="Quarterly (From April)",$E156/4,IF($H156="Termly",0,IF($H156="Monthly (excl. August)",$E156/11,""))))</f>
        <v/>
      </c>
      <c r="M156" s="302" t="str">
        <f>IF($H156="Monthly",$E156/12,IF($H156="Quarterly (From April)",0,IF($H156="Termly",0,IF($H156="Monthly (excl. August)",0,""))))</f>
        <v/>
      </c>
      <c r="N156" s="302" t="str">
        <f>IF($H156="Monthly",$E156/12,IF($H156="Quarterly (From April)",0,IF($H156="Termly",$E156/3,IF($H156="Monthly (excl. August)",$E156/11,""))))</f>
        <v/>
      </c>
      <c r="O156" s="302" t="str">
        <f>IF($H156="Monthly",$E156/12,IF($H156="Quarterly (From April)",$E156/4,IF($H156="Termly",0,IF($H156="Monthly (excl. August)",$E156/11,""))))</f>
        <v/>
      </c>
      <c r="P156" s="302" t="str">
        <f t="shared" si="114"/>
        <v/>
      </c>
      <c r="Q156" s="302" t="str">
        <f t="shared" si="114"/>
        <v/>
      </c>
      <c r="R156" s="302" t="str">
        <f>IF($H156="Monthly",$E156/12,IF($H156="Quarterly (From April)",$E156/4,IF($H156="Termly",$E156/3,IF($H156="Monthly (excl. August)",$E156/11,""))))</f>
        <v/>
      </c>
      <c r="S156" s="302" t="str">
        <f t="shared" si="115"/>
        <v/>
      </c>
      <c r="T156" s="302" t="str">
        <f t="shared" si="115"/>
        <v/>
      </c>
      <c r="U156" s="303">
        <f>E156</f>
        <v>0</v>
      </c>
      <c r="V156" s="214">
        <f>IF(ROUND(SUM(I156:T156),0)&gt;U156,1,IF(ROUND(SUM(I156:T156),0)&lt;U156,1,0))</f>
        <v>0</v>
      </c>
      <c r="W156" s="322">
        <f t="shared" si="103"/>
        <v>0</v>
      </c>
    </row>
    <row r="157" spans="1:23" x14ac:dyDescent="0.2">
      <c r="A157" s="1093"/>
      <c r="B157" s="160"/>
      <c r="C157" s="108"/>
      <c r="D157" s="95"/>
      <c r="E157" s="250"/>
      <c r="F157" s="251"/>
      <c r="H157" s="43" t="s">
        <v>267</v>
      </c>
      <c r="I157" s="302" t="str">
        <f>IF($H157="Monthly",$E157/12,IF($H157="Quarterly (From April)",$E157/4,IF($H157="Termly",$E157/3,IF($H157="Monthly (excl. August)",$E157/11,""))))</f>
        <v/>
      </c>
      <c r="J157" s="302" t="str">
        <f t="shared" si="113"/>
        <v/>
      </c>
      <c r="K157" s="302" t="str">
        <f t="shared" si="113"/>
        <v/>
      </c>
      <c r="L157" s="302" t="str">
        <f>IF($H157="Monthly",$E157/12,IF($H157="Quarterly (From April)",$E157/4,IF($H157="Termly",0,IF($H157="Monthly (excl. August)",$E157/11,""))))</f>
        <v/>
      </c>
      <c r="M157" s="302" t="str">
        <f>IF($H157="Monthly",$E157/12,IF($H157="Quarterly (From April)",0,IF($H157="Termly",0,IF($H157="Monthly (excl. August)",0,""))))</f>
        <v/>
      </c>
      <c r="N157" s="302" t="str">
        <f>IF($H157="Monthly",$E157/12,IF($H157="Quarterly (From April)",0,IF($H157="Termly",$E157/3,IF($H157="Monthly (excl. August)",$E157/11,""))))</f>
        <v/>
      </c>
      <c r="O157" s="302" t="str">
        <f>IF($H157="Monthly",$E157/12,IF($H157="Quarterly (From April)",$E157/4,IF($H157="Termly",0,IF($H157="Monthly (excl. August)",$E157/11,""))))</f>
        <v/>
      </c>
      <c r="P157" s="302" t="str">
        <f t="shared" si="114"/>
        <v/>
      </c>
      <c r="Q157" s="302" t="str">
        <f t="shared" si="114"/>
        <v/>
      </c>
      <c r="R157" s="302" t="str">
        <f>IF($H157="Monthly",$E157/12,IF($H157="Quarterly (From April)",$E157/4,IF($H157="Termly",$E157/3,IF($H157="Monthly (excl. August)",$E157/11,""))))</f>
        <v/>
      </c>
      <c r="S157" s="302" t="str">
        <f t="shared" si="115"/>
        <v/>
      </c>
      <c r="T157" s="302" t="str">
        <f t="shared" si="115"/>
        <v/>
      </c>
      <c r="U157" s="303">
        <f>E157</f>
        <v>0</v>
      </c>
      <c r="V157" s="214">
        <f>IF(ROUND(SUM(I157:T157),0)&gt;U157,1,IF(ROUND(SUM(I157:T157),0)&lt;U157,1,0))</f>
        <v>0</v>
      </c>
      <c r="W157" s="322">
        <f t="shared" si="103"/>
        <v>0</v>
      </c>
    </row>
    <row r="158" spans="1:23" ht="13.5" thickBot="1" x14ac:dyDescent="0.25">
      <c r="A158" s="1094"/>
      <c r="B158" s="161"/>
      <c r="C158" s="109"/>
      <c r="D158" s="100"/>
      <c r="E158" s="256"/>
      <c r="F158" s="257">
        <f>SUM(E155:E158)</f>
        <v>0</v>
      </c>
      <c r="H158" s="43" t="s">
        <v>267</v>
      </c>
      <c r="I158" s="302" t="str">
        <f>IF($H158="Monthly",$E158/12,IF($H158="Quarterly (From April)",$E158/4,IF($H158="Termly",$E158/3,IF($H158="Monthly (excl. August)",$E158/11,""))))</f>
        <v/>
      </c>
      <c r="J158" s="302" t="str">
        <f t="shared" si="113"/>
        <v/>
      </c>
      <c r="K158" s="302" t="str">
        <f t="shared" si="113"/>
        <v/>
      </c>
      <c r="L158" s="302" t="str">
        <f>IF($H158="Monthly",$E158/12,IF($H158="Quarterly (From April)",$E158/4,IF($H158="Termly",0,IF($H158="Monthly (excl. August)",$E158/11,""))))</f>
        <v/>
      </c>
      <c r="M158" s="302" t="str">
        <f>IF($H158="Monthly",$E158/12,IF($H158="Quarterly (From April)",0,IF($H158="Termly",0,IF($H158="Monthly (excl. August)",0,""))))</f>
        <v/>
      </c>
      <c r="N158" s="302" t="str">
        <f>IF($H158="Monthly",$E158/12,IF($H158="Quarterly (From April)",0,IF($H158="Termly",$E158/3,IF($H158="Monthly (excl. August)",$E158/11,""))))</f>
        <v/>
      </c>
      <c r="O158" s="302" t="str">
        <f>IF($H158="Monthly",$E158/12,IF($H158="Quarterly (From April)",$E158/4,IF($H158="Termly",0,IF($H158="Monthly (excl. August)",$E158/11,""))))</f>
        <v/>
      </c>
      <c r="P158" s="302" t="str">
        <f t="shared" si="114"/>
        <v/>
      </c>
      <c r="Q158" s="302" t="str">
        <f t="shared" si="114"/>
        <v/>
      </c>
      <c r="R158" s="302" t="str">
        <f>IF($H158="Monthly",$E158/12,IF($H158="Quarterly (From April)",$E158/4,IF($H158="Termly",$E158/3,IF($H158="Monthly (excl. August)",$E158/11,""))))</f>
        <v/>
      </c>
      <c r="S158" s="302" t="str">
        <f t="shared" si="115"/>
        <v/>
      </c>
      <c r="T158" s="302" t="str">
        <f t="shared" si="115"/>
        <v/>
      </c>
      <c r="U158" s="303">
        <f>E158</f>
        <v>0</v>
      </c>
      <c r="V158" s="214">
        <f>IF(ROUND(SUM(I158:T158),0)&gt;U158,1,IF(ROUND(SUM(I158:T158),0)&lt;U158,1,0))</f>
        <v>0</v>
      </c>
      <c r="W158" s="322">
        <f t="shared" si="103"/>
        <v>0</v>
      </c>
    </row>
    <row r="159" spans="1:23" ht="13.5" thickBot="1" x14ac:dyDescent="0.25">
      <c r="A159" s="189"/>
      <c r="B159" s="117"/>
      <c r="C159" s="101"/>
      <c r="D159" s="102"/>
      <c r="E159" s="259"/>
      <c r="F159" s="939"/>
      <c r="I159" s="306"/>
      <c r="J159" s="306"/>
      <c r="K159" s="306"/>
      <c r="L159" s="306"/>
      <c r="M159" s="306"/>
      <c r="N159" s="306"/>
      <c r="O159" s="306"/>
      <c r="P159" s="306"/>
      <c r="Q159" s="306"/>
      <c r="R159" s="306"/>
      <c r="S159" s="306"/>
      <c r="T159" s="306"/>
      <c r="U159" s="305"/>
      <c r="W159" s="322">
        <f t="shared" si="103"/>
        <v>0</v>
      </c>
    </row>
    <row r="160" spans="1:23" ht="12.75" customHeight="1" x14ac:dyDescent="0.2">
      <c r="A160" s="1092" t="s">
        <v>265</v>
      </c>
      <c r="B160" s="170"/>
      <c r="C160" s="113"/>
      <c r="D160" s="93"/>
      <c r="E160" s="246"/>
      <c r="F160" s="247"/>
      <c r="H160" s="43" t="s">
        <v>267</v>
      </c>
      <c r="I160" s="302" t="str">
        <f>IF($H160="Monthly",$E160/12,IF($H160="Quarterly (From April)",$E160/4,IF($H160="Termly",$E160/3,IF($H160="Monthly (excl. August)",$E160/11,""))))</f>
        <v/>
      </c>
      <c r="J160" s="302" t="str">
        <f t="shared" ref="J160:K163" si="116">IF($H160="Monthly",$E160/12,IF($H160="Quarterly (From April)",0,IF($H160="Termly",0,IF($H160="Monthly (excl. August)",$E160/11,""))))</f>
        <v/>
      </c>
      <c r="K160" s="302" t="str">
        <f t="shared" si="116"/>
        <v/>
      </c>
      <c r="L160" s="302" t="str">
        <f>IF($H160="Monthly",$E160/12,IF($H160="Quarterly (From April)",$E160/4,IF($H160="Termly",0,IF($H160="Monthly (excl. August)",$E160/11,""))))</f>
        <v/>
      </c>
      <c r="M160" s="302" t="str">
        <f>IF($H160="Monthly",$E160/12,IF($H160="Quarterly (From April)",0,IF($H160="Termly",0,IF($H160="Monthly (excl. August)",0,""))))</f>
        <v/>
      </c>
      <c r="N160" s="302" t="str">
        <f>IF($H160="Monthly",$E160/12,IF($H160="Quarterly (From April)",0,IF($H160="Termly",$E160/3,IF($H160="Monthly (excl. August)",$E160/11,""))))</f>
        <v/>
      </c>
      <c r="O160" s="302" t="str">
        <f>IF($H160="Monthly",$E160/12,IF($H160="Quarterly (From April)",$E160/4,IF($H160="Termly",0,IF($H160="Monthly (excl. August)",$E160/11,""))))</f>
        <v/>
      </c>
      <c r="P160" s="302" t="str">
        <f t="shared" ref="P160:Q163" si="117">IF($H160="Monthly",$E160/12,IF($H160="Quarterly (From April)",0,IF($H160="Termly",0,IF($H160="Monthly (excl. August)",$E160/11,""))))</f>
        <v/>
      </c>
      <c r="Q160" s="302" t="str">
        <f t="shared" si="117"/>
        <v/>
      </c>
      <c r="R160" s="302" t="str">
        <f>IF($H160="Monthly",$E160/12,IF($H160="Quarterly (From April)",$E160/4,IF($H160="Termly",$E160/3,IF($H160="Monthly (excl. August)",$E160/11,""))))</f>
        <v/>
      </c>
      <c r="S160" s="302" t="str">
        <f t="shared" ref="S160:T163" si="118">IF($H160="Monthly",$E160/12,IF($H160="Quarterly (From April)",0,IF($H160="Termly",0,IF($H160="Monthly (excl. August)",$E160/11,""))))</f>
        <v/>
      </c>
      <c r="T160" s="302" t="str">
        <f t="shared" si="118"/>
        <v/>
      </c>
      <c r="U160" s="303">
        <f>E160</f>
        <v>0</v>
      </c>
      <c r="V160" s="214">
        <f>IF(ROUND(SUM(I160:T160),0)&gt;U160,1,IF(ROUND(SUM(I160:T160),0)&lt;U160,1,0))</f>
        <v>0</v>
      </c>
      <c r="W160" s="322">
        <f t="shared" si="103"/>
        <v>0</v>
      </c>
    </row>
    <row r="161" spans="1:23" x14ac:dyDescent="0.2">
      <c r="A161" s="1093"/>
      <c r="B161" s="160"/>
      <c r="C161" s="108"/>
      <c r="D161" s="95"/>
      <c r="E161" s="250"/>
      <c r="F161" s="251"/>
      <c r="H161" s="43" t="s">
        <v>267</v>
      </c>
      <c r="I161" s="302" t="str">
        <f>IF($H161="Monthly",$E161/12,IF($H161="Quarterly (From April)",$E161/4,IF($H161="Termly",$E161/3,IF($H161="Monthly (excl. August)",$E161/11,""))))</f>
        <v/>
      </c>
      <c r="J161" s="302" t="str">
        <f t="shared" si="116"/>
        <v/>
      </c>
      <c r="K161" s="302" t="str">
        <f t="shared" si="116"/>
        <v/>
      </c>
      <c r="L161" s="302" t="str">
        <f>IF($H161="Monthly",$E161/12,IF($H161="Quarterly (From April)",$E161/4,IF($H161="Termly",0,IF($H161="Monthly (excl. August)",$E161/11,""))))</f>
        <v/>
      </c>
      <c r="M161" s="302" t="str">
        <f>IF($H161="Monthly",$E161/12,IF($H161="Quarterly (From April)",0,IF($H161="Termly",0,IF($H161="Monthly (excl. August)",0,""))))</f>
        <v/>
      </c>
      <c r="N161" s="302" t="str">
        <f>IF($H161="Monthly",$E161/12,IF($H161="Quarterly (From April)",0,IF($H161="Termly",$E161/3,IF($H161="Monthly (excl. August)",$E161/11,""))))</f>
        <v/>
      </c>
      <c r="O161" s="302" t="str">
        <f>IF($H161="Monthly",$E161/12,IF($H161="Quarterly (From April)",$E161/4,IF($H161="Termly",0,IF($H161="Monthly (excl. August)",$E161/11,""))))</f>
        <v/>
      </c>
      <c r="P161" s="302" t="str">
        <f t="shared" si="117"/>
        <v/>
      </c>
      <c r="Q161" s="302" t="str">
        <f t="shared" si="117"/>
        <v/>
      </c>
      <c r="R161" s="302" t="str">
        <f>IF($H161="Monthly",$E161/12,IF($H161="Quarterly (From April)",$E161/4,IF($H161="Termly",$E161/3,IF($H161="Monthly (excl. August)",$E161/11,""))))</f>
        <v/>
      </c>
      <c r="S161" s="302" t="str">
        <f t="shared" si="118"/>
        <v/>
      </c>
      <c r="T161" s="302" t="str">
        <f t="shared" si="118"/>
        <v/>
      </c>
      <c r="U161" s="303">
        <f>E161</f>
        <v>0</v>
      </c>
      <c r="V161" s="214">
        <f>IF(ROUND(SUM(I161:T161),0)&gt;U161,1,IF(ROUND(SUM(I161:T161),0)&lt;U161,1,0))</f>
        <v>0</v>
      </c>
      <c r="W161" s="322">
        <f t="shared" si="103"/>
        <v>0</v>
      </c>
    </row>
    <row r="162" spans="1:23" x14ac:dyDescent="0.2">
      <c r="A162" s="1093"/>
      <c r="B162" s="160"/>
      <c r="C162" s="108"/>
      <c r="D162" s="95"/>
      <c r="E162" s="250"/>
      <c r="F162" s="251"/>
      <c r="H162" s="43" t="s">
        <v>267</v>
      </c>
      <c r="I162" s="302" t="str">
        <f>IF($H162="Monthly",$E162/12,IF($H162="Quarterly (From April)",$E162/4,IF($H162="Termly",$E162/3,IF($H162="Monthly (excl. August)",$E162/11,""))))</f>
        <v/>
      </c>
      <c r="J162" s="302" t="str">
        <f t="shared" si="116"/>
        <v/>
      </c>
      <c r="K162" s="302" t="str">
        <f t="shared" si="116"/>
        <v/>
      </c>
      <c r="L162" s="302" t="str">
        <f>IF($H162="Monthly",$E162/12,IF($H162="Quarterly (From April)",$E162/4,IF($H162="Termly",0,IF($H162="Monthly (excl. August)",$E162/11,""))))</f>
        <v/>
      </c>
      <c r="M162" s="302" t="str">
        <f>IF($H162="Monthly",$E162/12,IF($H162="Quarterly (From April)",0,IF($H162="Termly",0,IF($H162="Monthly (excl. August)",0,""))))</f>
        <v/>
      </c>
      <c r="N162" s="302" t="str">
        <f>IF($H162="Monthly",$E162/12,IF($H162="Quarterly (From April)",0,IF($H162="Termly",$E162/3,IF($H162="Monthly (excl. August)",$E162/11,""))))</f>
        <v/>
      </c>
      <c r="O162" s="302" t="str">
        <f>IF($H162="Monthly",$E162/12,IF($H162="Quarterly (From April)",$E162/4,IF($H162="Termly",0,IF($H162="Monthly (excl. August)",$E162/11,""))))</f>
        <v/>
      </c>
      <c r="P162" s="302" t="str">
        <f t="shared" si="117"/>
        <v/>
      </c>
      <c r="Q162" s="302" t="str">
        <f t="shared" si="117"/>
        <v/>
      </c>
      <c r="R162" s="302" t="str">
        <f>IF($H162="Monthly",$E162/12,IF($H162="Quarterly (From April)",$E162/4,IF($H162="Termly",$E162/3,IF($H162="Monthly (excl. August)",$E162/11,""))))</f>
        <v/>
      </c>
      <c r="S162" s="302" t="str">
        <f t="shared" si="118"/>
        <v/>
      </c>
      <c r="T162" s="302" t="str">
        <f t="shared" si="118"/>
        <v/>
      </c>
      <c r="U162" s="303">
        <f>E162</f>
        <v>0</v>
      </c>
      <c r="V162" s="214">
        <f>IF(ROUND(SUM(I162:T162),0)&gt;U162,1,IF(ROUND(SUM(I162:T162),0)&lt;U162,1,0))</f>
        <v>0</v>
      </c>
      <c r="W162" s="322">
        <f t="shared" si="103"/>
        <v>0</v>
      </c>
    </row>
    <row r="163" spans="1:23" ht="13.5" thickBot="1" x14ac:dyDescent="0.25">
      <c r="A163" s="1094"/>
      <c r="B163" s="161"/>
      <c r="C163" s="109"/>
      <c r="D163" s="100"/>
      <c r="E163" s="256"/>
      <c r="F163" s="257">
        <f>SUM(E160:E163)</f>
        <v>0</v>
      </c>
      <c r="H163" s="43" t="s">
        <v>267</v>
      </c>
      <c r="I163" s="302" t="str">
        <f>IF($H163="Monthly",$E163/12,IF($H163="Quarterly (From April)",$E163/4,IF($H163="Termly",$E163/3,IF($H163="Monthly (excl. August)",$E163/11,""))))</f>
        <v/>
      </c>
      <c r="J163" s="302" t="str">
        <f t="shared" si="116"/>
        <v/>
      </c>
      <c r="K163" s="302" t="str">
        <f t="shared" si="116"/>
        <v/>
      </c>
      <c r="L163" s="302" t="str">
        <f>IF($H163="Monthly",$E163/12,IF($H163="Quarterly (From April)",$E163/4,IF($H163="Termly",0,IF($H163="Monthly (excl. August)",$E163/11,""))))</f>
        <v/>
      </c>
      <c r="M163" s="302" t="str">
        <f>IF($H163="Monthly",$E163/12,IF($H163="Quarterly (From April)",0,IF($H163="Termly",0,IF($H163="Monthly (excl. August)",0,""))))</f>
        <v/>
      </c>
      <c r="N163" s="302" t="str">
        <f>IF($H163="Monthly",$E163/12,IF($H163="Quarterly (From April)",0,IF($H163="Termly",$E163/3,IF($H163="Monthly (excl. August)",$E163/11,""))))</f>
        <v/>
      </c>
      <c r="O163" s="302" t="str">
        <f>IF($H163="Monthly",$E163/12,IF($H163="Quarterly (From April)",$E163/4,IF($H163="Termly",0,IF($H163="Monthly (excl. August)",$E163/11,""))))</f>
        <v/>
      </c>
      <c r="P163" s="302" t="str">
        <f t="shared" si="117"/>
        <v/>
      </c>
      <c r="Q163" s="302" t="str">
        <f t="shared" si="117"/>
        <v/>
      </c>
      <c r="R163" s="302" t="str">
        <f>IF($H163="Monthly",$E163/12,IF($H163="Quarterly (From April)",$E163/4,IF($H163="Termly",$E163/3,IF($H163="Monthly (excl. August)",$E163/11,""))))</f>
        <v/>
      </c>
      <c r="S163" s="302" t="str">
        <f t="shared" si="118"/>
        <v/>
      </c>
      <c r="T163" s="302" t="str">
        <f t="shared" si="118"/>
        <v/>
      </c>
      <c r="U163" s="303">
        <f>E163</f>
        <v>0</v>
      </c>
      <c r="V163" s="214">
        <f>IF(ROUND(SUM(I163:T163),0)&gt;U163,1,IF(ROUND(SUM(I163:T163),0)&lt;U163,1,0))</f>
        <v>0</v>
      </c>
      <c r="W163" s="322">
        <f t="shared" si="103"/>
        <v>0</v>
      </c>
    </row>
    <row r="164" spans="1:23" ht="13.5" thickBot="1" x14ac:dyDescent="0.25">
      <c r="A164" s="8"/>
      <c r="B164" s="118"/>
      <c r="C164" s="106"/>
      <c r="D164" s="107"/>
      <c r="E164" s="267"/>
      <c r="F164" s="268"/>
      <c r="I164" s="306"/>
      <c r="J164" s="306"/>
      <c r="K164" s="306"/>
      <c r="L164" s="306"/>
      <c r="M164" s="306"/>
      <c r="N164" s="306"/>
      <c r="O164" s="306"/>
      <c r="P164" s="306"/>
      <c r="Q164" s="306"/>
      <c r="R164" s="306"/>
      <c r="S164" s="306"/>
      <c r="T164" s="306"/>
      <c r="U164" s="305"/>
      <c r="W164" s="322">
        <f t="shared" si="103"/>
        <v>0</v>
      </c>
    </row>
    <row r="165" spans="1:23" ht="12.75" customHeight="1" x14ac:dyDescent="0.2">
      <c r="A165" s="1092" t="s">
        <v>265</v>
      </c>
      <c r="B165" s="170"/>
      <c r="C165" s="113"/>
      <c r="D165" s="93"/>
      <c r="E165" s="246"/>
      <c r="F165" s="247"/>
      <c r="H165" s="43" t="s">
        <v>267</v>
      </c>
      <c r="I165" s="302" t="str">
        <f>IF($H165="Monthly",$E165/12,IF($H165="Quarterly (From April)",$E165/4,IF($H165="Termly",$E165/3,IF($H165="Monthly (excl. August)",$E165/11,""))))</f>
        <v/>
      </c>
      <c r="J165" s="302" t="str">
        <f t="shared" ref="J165:K168" si="119">IF($H165="Monthly",$E165/12,IF($H165="Quarterly (From April)",0,IF($H165="Termly",0,IF($H165="Monthly (excl. August)",$E165/11,""))))</f>
        <v/>
      </c>
      <c r="K165" s="302" t="str">
        <f t="shared" si="119"/>
        <v/>
      </c>
      <c r="L165" s="302" t="str">
        <f>IF($H165="Monthly",$E165/12,IF($H165="Quarterly (From April)",$E165/4,IF($H165="Termly",0,IF($H165="Monthly (excl. August)",$E165/11,""))))</f>
        <v/>
      </c>
      <c r="M165" s="302" t="str">
        <f>IF($H165="Monthly",$E165/12,IF($H165="Quarterly (From April)",0,IF($H165="Termly",0,IF($H165="Monthly (excl. August)",0,""))))</f>
        <v/>
      </c>
      <c r="N165" s="302" t="str">
        <f>IF($H165="Monthly",$E165/12,IF($H165="Quarterly (From April)",0,IF($H165="Termly",$E165/3,IF($H165="Monthly (excl. August)",$E165/11,""))))</f>
        <v/>
      </c>
      <c r="O165" s="302" t="str">
        <f>IF($H165="Monthly",$E165/12,IF($H165="Quarterly (From April)",$E165/4,IF($H165="Termly",0,IF($H165="Monthly (excl. August)",$E165/11,""))))</f>
        <v/>
      </c>
      <c r="P165" s="302" t="str">
        <f t="shared" ref="P165:Q168" si="120">IF($H165="Monthly",$E165/12,IF($H165="Quarterly (From April)",0,IF($H165="Termly",0,IF($H165="Monthly (excl. August)",$E165/11,""))))</f>
        <v/>
      </c>
      <c r="Q165" s="302" t="str">
        <f t="shared" si="120"/>
        <v/>
      </c>
      <c r="R165" s="302" t="str">
        <f>IF($H165="Monthly",$E165/12,IF($H165="Quarterly (From April)",$E165/4,IF($H165="Termly",$E165/3,IF($H165="Monthly (excl. August)",$E165/11,""))))</f>
        <v/>
      </c>
      <c r="S165" s="302" t="str">
        <f t="shared" ref="S165:T168" si="121">IF($H165="Monthly",$E165/12,IF($H165="Quarterly (From April)",0,IF($H165="Termly",0,IF($H165="Monthly (excl. August)",$E165/11,""))))</f>
        <v/>
      </c>
      <c r="T165" s="302" t="str">
        <f t="shared" si="121"/>
        <v/>
      </c>
      <c r="U165" s="303">
        <f>E165</f>
        <v>0</v>
      </c>
      <c r="V165" s="214">
        <f>IF(ROUND(SUM(I165:T165),0)&gt;U165,1,IF(ROUND(SUM(I165:T165),0)&lt;U165,1,0))</f>
        <v>0</v>
      </c>
      <c r="W165" s="322">
        <f t="shared" si="103"/>
        <v>0</v>
      </c>
    </row>
    <row r="166" spans="1:23" x14ac:dyDescent="0.2">
      <c r="A166" s="1093"/>
      <c r="B166" s="160"/>
      <c r="C166" s="108"/>
      <c r="D166" s="95"/>
      <c r="E166" s="250"/>
      <c r="F166" s="251"/>
      <c r="H166" s="43" t="s">
        <v>267</v>
      </c>
      <c r="I166" s="302" t="str">
        <f>IF($H166="Monthly",$E166/12,IF($H166="Quarterly (From April)",$E166/4,IF($H166="Termly",$E166/3,IF($H166="Monthly (excl. August)",$E166/11,""))))</f>
        <v/>
      </c>
      <c r="J166" s="302" t="str">
        <f t="shared" si="119"/>
        <v/>
      </c>
      <c r="K166" s="302" t="str">
        <f t="shared" si="119"/>
        <v/>
      </c>
      <c r="L166" s="302" t="str">
        <f>IF($H166="Monthly",$E166/12,IF($H166="Quarterly (From April)",$E166/4,IF($H166="Termly",0,IF($H166="Monthly (excl. August)",$E166/11,""))))</f>
        <v/>
      </c>
      <c r="M166" s="302" t="str">
        <f>IF($H166="Monthly",$E166/12,IF($H166="Quarterly (From April)",0,IF($H166="Termly",0,IF($H166="Monthly (excl. August)",0,""))))</f>
        <v/>
      </c>
      <c r="N166" s="302" t="str">
        <f>IF($H166="Monthly",$E166/12,IF($H166="Quarterly (From April)",0,IF($H166="Termly",$E166/3,IF($H166="Monthly (excl. August)",$E166/11,""))))</f>
        <v/>
      </c>
      <c r="O166" s="302" t="str">
        <f>IF($H166="Monthly",$E166/12,IF($H166="Quarterly (From April)",$E166/4,IF($H166="Termly",0,IF($H166="Monthly (excl. August)",$E166/11,""))))</f>
        <v/>
      </c>
      <c r="P166" s="302" t="str">
        <f t="shared" si="120"/>
        <v/>
      </c>
      <c r="Q166" s="302" t="str">
        <f t="shared" si="120"/>
        <v/>
      </c>
      <c r="R166" s="302" t="str">
        <f>IF($H166="Monthly",$E166/12,IF($H166="Quarterly (From April)",$E166/4,IF($H166="Termly",$E166/3,IF($H166="Monthly (excl. August)",$E166/11,""))))</f>
        <v/>
      </c>
      <c r="S166" s="302" t="str">
        <f t="shared" si="121"/>
        <v/>
      </c>
      <c r="T166" s="302" t="str">
        <f t="shared" si="121"/>
        <v/>
      </c>
      <c r="U166" s="303">
        <f>E166</f>
        <v>0</v>
      </c>
      <c r="V166" s="214">
        <f>IF(ROUND(SUM(I166:T166),0)&gt;U166,1,IF(ROUND(SUM(I166:T166),0)&lt;U166,1,0))</f>
        <v>0</v>
      </c>
      <c r="W166" s="322">
        <f t="shared" si="103"/>
        <v>0</v>
      </c>
    </row>
    <row r="167" spans="1:23" x14ac:dyDescent="0.2">
      <c r="A167" s="1093"/>
      <c r="B167" s="160"/>
      <c r="C167" s="108"/>
      <c r="D167" s="95"/>
      <c r="E167" s="250"/>
      <c r="F167" s="251"/>
      <c r="H167" s="43" t="s">
        <v>267</v>
      </c>
      <c r="I167" s="302" t="str">
        <f>IF($H167="Monthly",$E167/12,IF($H167="Quarterly (From April)",$E167/4,IF($H167="Termly",$E167/3,IF($H167="Monthly (excl. August)",$E167/11,""))))</f>
        <v/>
      </c>
      <c r="J167" s="302" t="str">
        <f t="shared" si="119"/>
        <v/>
      </c>
      <c r="K167" s="302" t="str">
        <f t="shared" si="119"/>
        <v/>
      </c>
      <c r="L167" s="302" t="str">
        <f>IF($H167="Monthly",$E167/12,IF($H167="Quarterly (From April)",$E167/4,IF($H167="Termly",0,IF($H167="Monthly (excl. August)",$E167/11,""))))</f>
        <v/>
      </c>
      <c r="M167" s="302" t="str">
        <f>IF($H167="Monthly",$E167/12,IF($H167="Quarterly (From April)",0,IF($H167="Termly",0,IF($H167="Monthly (excl. August)",0,""))))</f>
        <v/>
      </c>
      <c r="N167" s="302" t="str">
        <f>IF($H167="Monthly",$E167/12,IF($H167="Quarterly (From April)",0,IF($H167="Termly",$E167/3,IF($H167="Monthly (excl. August)",$E167/11,""))))</f>
        <v/>
      </c>
      <c r="O167" s="302" t="str">
        <f>IF($H167="Monthly",$E167/12,IF($H167="Quarterly (From April)",$E167/4,IF($H167="Termly",0,IF($H167="Monthly (excl. August)",$E167/11,""))))</f>
        <v/>
      </c>
      <c r="P167" s="302" t="str">
        <f t="shared" si="120"/>
        <v/>
      </c>
      <c r="Q167" s="302" t="str">
        <f t="shared" si="120"/>
        <v/>
      </c>
      <c r="R167" s="302" t="str">
        <f>IF($H167="Monthly",$E167/12,IF($H167="Quarterly (From April)",$E167/4,IF($H167="Termly",$E167/3,IF($H167="Monthly (excl. August)",$E167/11,""))))</f>
        <v/>
      </c>
      <c r="S167" s="302" t="str">
        <f t="shared" si="121"/>
        <v/>
      </c>
      <c r="T167" s="302" t="str">
        <f t="shared" si="121"/>
        <v/>
      </c>
      <c r="U167" s="303">
        <f>E167</f>
        <v>0</v>
      </c>
      <c r="V167" s="214">
        <f>IF(ROUND(SUM(I167:T167),0)&gt;U167,1,IF(ROUND(SUM(I167:T167),0)&lt;U167,1,0))</f>
        <v>0</v>
      </c>
      <c r="W167" s="322">
        <f t="shared" si="103"/>
        <v>0</v>
      </c>
    </row>
    <row r="168" spans="1:23" ht="13.5" thickBot="1" x14ac:dyDescent="0.25">
      <c r="A168" s="1094"/>
      <c r="B168" s="161"/>
      <c r="C168" s="109"/>
      <c r="D168" s="100"/>
      <c r="E168" s="256"/>
      <c r="F168" s="257">
        <f>SUM(E165:E168)</f>
        <v>0</v>
      </c>
      <c r="H168" s="43" t="s">
        <v>267</v>
      </c>
      <c r="I168" s="302" t="str">
        <f>IF($H168="Monthly",$E168/12,IF($H168="Quarterly (From April)",$E168/4,IF($H168="Termly",$E168/3,IF($H168="Monthly (excl. August)",$E168/11,""))))</f>
        <v/>
      </c>
      <c r="J168" s="302" t="str">
        <f t="shared" si="119"/>
        <v/>
      </c>
      <c r="K168" s="302" t="str">
        <f t="shared" si="119"/>
        <v/>
      </c>
      <c r="L168" s="302" t="str">
        <f>IF($H168="Monthly",$E168/12,IF($H168="Quarterly (From April)",$E168/4,IF($H168="Termly",0,IF($H168="Monthly (excl. August)",$E168/11,""))))</f>
        <v/>
      </c>
      <c r="M168" s="302" t="str">
        <f>IF($H168="Monthly",$E168/12,IF($H168="Quarterly (From April)",0,IF($H168="Termly",0,IF($H168="Monthly (excl. August)",0,""))))</f>
        <v/>
      </c>
      <c r="N168" s="302" t="str">
        <f>IF($H168="Monthly",$E168/12,IF($H168="Quarterly (From April)",0,IF($H168="Termly",$E168/3,IF($H168="Monthly (excl. August)",$E168/11,""))))</f>
        <v/>
      </c>
      <c r="O168" s="302" t="str">
        <f>IF($H168="Monthly",$E168/12,IF($H168="Quarterly (From April)",$E168/4,IF($H168="Termly",0,IF($H168="Monthly (excl. August)",$E168/11,""))))</f>
        <v/>
      </c>
      <c r="P168" s="302" t="str">
        <f t="shared" si="120"/>
        <v/>
      </c>
      <c r="Q168" s="302" t="str">
        <f t="shared" si="120"/>
        <v/>
      </c>
      <c r="R168" s="302" t="str">
        <f>IF($H168="Monthly",$E168/12,IF($H168="Quarterly (From April)",$E168/4,IF($H168="Termly",$E168/3,IF($H168="Monthly (excl. August)",$E168/11,""))))</f>
        <v/>
      </c>
      <c r="S168" s="302" t="str">
        <f t="shared" si="121"/>
        <v/>
      </c>
      <c r="T168" s="302" t="str">
        <f t="shared" si="121"/>
        <v/>
      </c>
      <c r="U168" s="303">
        <f>E168</f>
        <v>0</v>
      </c>
      <c r="V168" s="214">
        <f>IF(ROUND(SUM(I168:T168),0)&gt;U168,1,IF(ROUND(SUM(I168:T168),0)&lt;U168,1,0))</f>
        <v>0</v>
      </c>
      <c r="W168" s="322">
        <f t="shared" si="103"/>
        <v>0</v>
      </c>
    </row>
    <row r="169" spans="1:23" ht="13.5" thickBot="1" x14ac:dyDescent="0.25">
      <c r="A169" s="45"/>
      <c r="B169" s="119"/>
      <c r="C169" s="111"/>
      <c r="D169" s="107"/>
      <c r="E169" s="267"/>
      <c r="F169" s="270"/>
      <c r="I169" s="306"/>
      <c r="J169" s="306"/>
      <c r="K169" s="306"/>
      <c r="L169" s="306"/>
      <c r="M169" s="306"/>
      <c r="N169" s="306"/>
      <c r="O169" s="306"/>
      <c r="P169" s="306"/>
      <c r="Q169" s="306"/>
      <c r="R169" s="306"/>
      <c r="S169" s="306"/>
      <c r="T169" s="306"/>
      <c r="U169" s="305"/>
      <c r="W169" s="322">
        <f t="shared" si="103"/>
        <v>0</v>
      </c>
    </row>
    <row r="170" spans="1:23" ht="12.75" customHeight="1" x14ac:dyDescent="0.2">
      <c r="A170" s="1092" t="s">
        <v>265</v>
      </c>
      <c r="B170" s="170"/>
      <c r="C170" s="113"/>
      <c r="D170" s="93"/>
      <c r="E170" s="246"/>
      <c r="F170" s="247"/>
      <c r="H170" s="43" t="s">
        <v>267</v>
      </c>
      <c r="I170" s="302" t="str">
        <f>IF($H170="Monthly",$E170/12,IF($H170="Quarterly (From April)",$E170/4,IF($H170="Termly",$E170/3,IF($H170="Monthly (excl. August)",$E170/11,""))))</f>
        <v/>
      </c>
      <c r="J170" s="302" t="str">
        <f t="shared" ref="J170:K173" si="122">IF($H170="Monthly",$E170/12,IF($H170="Quarterly (From April)",0,IF($H170="Termly",0,IF($H170="Monthly (excl. August)",$E170/11,""))))</f>
        <v/>
      </c>
      <c r="K170" s="302" t="str">
        <f t="shared" si="122"/>
        <v/>
      </c>
      <c r="L170" s="302" t="str">
        <f>IF($H170="Monthly",$E170/12,IF($H170="Quarterly (From April)",$E170/4,IF($H170="Termly",0,IF($H170="Monthly (excl. August)",$E170/11,""))))</f>
        <v/>
      </c>
      <c r="M170" s="302" t="str">
        <f>IF($H170="Monthly",$E170/12,IF($H170="Quarterly (From April)",0,IF($H170="Termly",0,IF($H170="Monthly (excl. August)",0,""))))</f>
        <v/>
      </c>
      <c r="N170" s="302" t="str">
        <f>IF($H170="Monthly",$E170/12,IF($H170="Quarterly (From April)",0,IF($H170="Termly",$E170/3,IF($H170="Monthly (excl. August)",$E170/11,""))))</f>
        <v/>
      </c>
      <c r="O170" s="302" t="str">
        <f>IF($H170="Monthly",$E170/12,IF($H170="Quarterly (From April)",$E170/4,IF($H170="Termly",0,IF($H170="Monthly (excl. August)",$E170/11,""))))</f>
        <v/>
      </c>
      <c r="P170" s="302" t="str">
        <f t="shared" ref="P170:Q173" si="123">IF($H170="Monthly",$E170/12,IF($H170="Quarterly (From April)",0,IF($H170="Termly",0,IF($H170="Monthly (excl. August)",$E170/11,""))))</f>
        <v/>
      </c>
      <c r="Q170" s="302" t="str">
        <f t="shared" si="123"/>
        <v/>
      </c>
      <c r="R170" s="302" t="str">
        <f>IF($H170="Monthly",$E170/12,IF($H170="Quarterly (From April)",$E170/4,IF($H170="Termly",$E170/3,IF($H170="Monthly (excl. August)",$E170/11,""))))</f>
        <v/>
      </c>
      <c r="S170" s="302" t="str">
        <f t="shared" ref="S170:T173" si="124">IF($H170="Monthly",$E170/12,IF($H170="Quarterly (From April)",0,IF($H170="Termly",0,IF($H170="Monthly (excl. August)",$E170/11,""))))</f>
        <v/>
      </c>
      <c r="T170" s="302" t="str">
        <f t="shared" si="124"/>
        <v/>
      </c>
      <c r="U170" s="303">
        <f>E170</f>
        <v>0</v>
      </c>
      <c r="V170" s="214">
        <f>IF(ROUND(SUM(I170:T170),0)&gt;U170,1,IF(ROUND(SUM(I170:T170),0)&lt;U170,1,0))</f>
        <v>0</v>
      </c>
      <c r="W170" s="322">
        <f t="shared" si="103"/>
        <v>0</v>
      </c>
    </row>
    <row r="171" spans="1:23" x14ac:dyDescent="0.2">
      <c r="A171" s="1093"/>
      <c r="B171" s="160"/>
      <c r="C171" s="108"/>
      <c r="D171" s="95"/>
      <c r="E171" s="250"/>
      <c r="F171" s="251"/>
      <c r="H171" s="43" t="s">
        <v>267</v>
      </c>
      <c r="I171" s="302" t="str">
        <f>IF($H171="Monthly",$E171/12,IF($H171="Quarterly (From April)",$E171/4,IF($H171="Termly",$E171/3,IF($H171="Monthly (excl. August)",$E171/11,""))))</f>
        <v/>
      </c>
      <c r="J171" s="302" t="str">
        <f t="shared" si="122"/>
        <v/>
      </c>
      <c r="K171" s="302" t="str">
        <f t="shared" si="122"/>
        <v/>
      </c>
      <c r="L171" s="302" t="str">
        <f>IF($H171="Monthly",$E171/12,IF($H171="Quarterly (From April)",$E171/4,IF($H171="Termly",0,IF($H171="Monthly (excl. August)",$E171/11,""))))</f>
        <v/>
      </c>
      <c r="M171" s="302" t="str">
        <f>IF($H171="Monthly",$E171/12,IF($H171="Quarterly (From April)",0,IF($H171="Termly",0,IF($H171="Monthly (excl. August)",0,""))))</f>
        <v/>
      </c>
      <c r="N171" s="302" t="str">
        <f>IF($H171="Monthly",$E171/12,IF($H171="Quarterly (From April)",0,IF($H171="Termly",$E171/3,IF($H171="Monthly (excl. August)",$E171/11,""))))</f>
        <v/>
      </c>
      <c r="O171" s="302" t="str">
        <f>IF($H171="Monthly",$E171/12,IF($H171="Quarterly (From April)",$E171/4,IF($H171="Termly",0,IF($H171="Monthly (excl. August)",$E171/11,""))))</f>
        <v/>
      </c>
      <c r="P171" s="302" t="str">
        <f t="shared" si="123"/>
        <v/>
      </c>
      <c r="Q171" s="302" t="str">
        <f t="shared" si="123"/>
        <v/>
      </c>
      <c r="R171" s="302" t="str">
        <f>IF($H171="Monthly",$E171/12,IF($H171="Quarterly (From April)",$E171/4,IF($H171="Termly",$E171/3,IF($H171="Monthly (excl. August)",$E171/11,""))))</f>
        <v/>
      </c>
      <c r="S171" s="302" t="str">
        <f t="shared" si="124"/>
        <v/>
      </c>
      <c r="T171" s="302" t="str">
        <f t="shared" si="124"/>
        <v/>
      </c>
      <c r="U171" s="303">
        <f>E171</f>
        <v>0</v>
      </c>
      <c r="V171" s="214">
        <f>IF(ROUND(SUM(I171:T171),0)&gt;U171,1,IF(ROUND(SUM(I171:T171),0)&lt;U171,1,0))</f>
        <v>0</v>
      </c>
      <c r="W171" s="322">
        <f t="shared" si="103"/>
        <v>0</v>
      </c>
    </row>
    <row r="172" spans="1:23" x14ac:dyDescent="0.2">
      <c r="A172" s="1093"/>
      <c r="B172" s="160"/>
      <c r="C172" s="108"/>
      <c r="D172" s="95"/>
      <c r="E172" s="250"/>
      <c r="F172" s="251"/>
      <c r="H172" s="43" t="s">
        <v>267</v>
      </c>
      <c r="I172" s="302" t="str">
        <f>IF($H172="Monthly",$E172/12,IF($H172="Quarterly (From April)",$E172/4,IF($H172="Termly",$E172/3,IF($H172="Monthly (excl. August)",$E172/11,""))))</f>
        <v/>
      </c>
      <c r="J172" s="302" t="str">
        <f t="shared" si="122"/>
        <v/>
      </c>
      <c r="K172" s="302" t="str">
        <f t="shared" si="122"/>
        <v/>
      </c>
      <c r="L172" s="302" t="str">
        <f>IF($H172="Monthly",$E172/12,IF($H172="Quarterly (From April)",$E172/4,IF($H172="Termly",0,IF($H172="Monthly (excl. August)",$E172/11,""))))</f>
        <v/>
      </c>
      <c r="M172" s="302" t="str">
        <f>IF($H172="Monthly",$E172/12,IF($H172="Quarterly (From April)",0,IF($H172="Termly",0,IF($H172="Monthly (excl. August)",0,""))))</f>
        <v/>
      </c>
      <c r="N172" s="302" t="str">
        <f>IF($H172="Monthly",$E172/12,IF($H172="Quarterly (From April)",0,IF($H172="Termly",$E172/3,IF($H172="Monthly (excl. August)",$E172/11,""))))</f>
        <v/>
      </c>
      <c r="O172" s="302" t="str">
        <f>IF($H172="Monthly",$E172/12,IF($H172="Quarterly (From April)",$E172/4,IF($H172="Termly",0,IF($H172="Monthly (excl. August)",$E172/11,""))))</f>
        <v/>
      </c>
      <c r="P172" s="302" t="str">
        <f t="shared" si="123"/>
        <v/>
      </c>
      <c r="Q172" s="302" t="str">
        <f t="shared" si="123"/>
        <v/>
      </c>
      <c r="R172" s="302" t="str">
        <f>IF($H172="Monthly",$E172/12,IF($H172="Quarterly (From April)",$E172/4,IF($H172="Termly",$E172/3,IF($H172="Monthly (excl. August)",$E172/11,""))))</f>
        <v/>
      </c>
      <c r="S172" s="302" t="str">
        <f t="shared" si="124"/>
        <v/>
      </c>
      <c r="T172" s="302" t="str">
        <f t="shared" si="124"/>
        <v/>
      </c>
      <c r="U172" s="303">
        <f>E172</f>
        <v>0</v>
      </c>
      <c r="V172" s="214">
        <f>IF(ROUND(SUM(I172:T172),0)&gt;U172,1,IF(ROUND(SUM(I172:T172),0)&lt;U172,1,0))</f>
        <v>0</v>
      </c>
      <c r="W172" s="322">
        <f t="shared" si="103"/>
        <v>0</v>
      </c>
    </row>
    <row r="173" spans="1:23" ht="13.5" thickBot="1" x14ac:dyDescent="0.25">
      <c r="A173" s="1094"/>
      <c r="B173" s="161"/>
      <c r="C173" s="109"/>
      <c r="D173" s="100"/>
      <c r="E173" s="256"/>
      <c r="F173" s="257">
        <f>SUM(E170:E173)</f>
        <v>0</v>
      </c>
      <c r="H173" s="43" t="s">
        <v>267</v>
      </c>
      <c r="I173" s="302" t="str">
        <f>IF($H173="Monthly",$E173/12,IF($H173="Quarterly (From April)",$E173/4,IF($H173="Termly",$E173/3,IF($H173="Monthly (excl. August)",$E173/11,""))))</f>
        <v/>
      </c>
      <c r="J173" s="302" t="str">
        <f t="shared" si="122"/>
        <v/>
      </c>
      <c r="K173" s="302" t="str">
        <f t="shared" si="122"/>
        <v/>
      </c>
      <c r="L173" s="302" t="str">
        <f>IF($H173="Monthly",$E173/12,IF($H173="Quarterly (From April)",$E173/4,IF($H173="Termly",0,IF($H173="Monthly (excl. August)",$E173/11,""))))</f>
        <v/>
      </c>
      <c r="M173" s="302" t="str">
        <f>IF($H173="Monthly",$E173/12,IF($H173="Quarterly (From April)",0,IF($H173="Termly",0,IF($H173="Monthly (excl. August)",0,""))))</f>
        <v/>
      </c>
      <c r="N173" s="302" t="str">
        <f>IF($H173="Monthly",$E173/12,IF($H173="Quarterly (From April)",0,IF($H173="Termly",$E173/3,IF($H173="Monthly (excl. August)",$E173/11,""))))</f>
        <v/>
      </c>
      <c r="O173" s="302" t="str">
        <f>IF($H173="Monthly",$E173/12,IF($H173="Quarterly (From April)",$E173/4,IF($H173="Termly",0,IF($H173="Monthly (excl. August)",$E173/11,""))))</f>
        <v/>
      </c>
      <c r="P173" s="302" t="str">
        <f t="shared" si="123"/>
        <v/>
      </c>
      <c r="Q173" s="302" t="str">
        <f t="shared" si="123"/>
        <v/>
      </c>
      <c r="R173" s="302" t="str">
        <f>IF($H173="Monthly",$E173/12,IF($H173="Quarterly (From April)",$E173/4,IF($H173="Termly",$E173/3,IF($H173="Monthly (excl. August)",$E173/11,""))))</f>
        <v/>
      </c>
      <c r="S173" s="302" t="str">
        <f t="shared" si="124"/>
        <v/>
      </c>
      <c r="T173" s="302" t="str">
        <f t="shared" si="124"/>
        <v/>
      </c>
      <c r="U173" s="303">
        <f>E173</f>
        <v>0</v>
      </c>
      <c r="V173" s="214">
        <f>IF(ROUND(SUM(I173:T173),0)&gt;U173,1,IF(ROUND(SUM(I173:T173),0)&lt;U173,1,0))</f>
        <v>0</v>
      </c>
      <c r="W173" s="322">
        <f t="shared" si="103"/>
        <v>0</v>
      </c>
    </row>
    <row r="174" spans="1:23" ht="13.5" thickBot="1" x14ac:dyDescent="0.25">
      <c r="A174" s="189"/>
      <c r="B174" s="117"/>
      <c r="C174" s="101"/>
      <c r="D174" s="102"/>
      <c r="E174" s="259"/>
      <c r="F174" s="260"/>
      <c r="I174" s="306"/>
      <c r="J174" s="306"/>
      <c r="K174" s="306"/>
      <c r="L174" s="306"/>
      <c r="M174" s="306"/>
      <c r="N174" s="306"/>
      <c r="O174" s="306"/>
      <c r="P174" s="306"/>
      <c r="Q174" s="306"/>
      <c r="R174" s="306"/>
      <c r="S174" s="306"/>
      <c r="T174" s="306"/>
      <c r="U174" s="305"/>
      <c r="W174" s="322">
        <f t="shared" si="103"/>
        <v>0</v>
      </c>
    </row>
    <row r="175" spans="1:23" ht="12.75" customHeight="1" x14ac:dyDescent="0.2">
      <c r="A175" s="1092" t="s">
        <v>265</v>
      </c>
      <c r="B175" s="170"/>
      <c r="C175" s="113"/>
      <c r="D175" s="93"/>
      <c r="E175" s="246"/>
      <c r="F175" s="247"/>
      <c r="H175" s="43" t="s">
        <v>267</v>
      </c>
      <c r="I175" s="302" t="str">
        <f>IF($H175="Monthly",$E175/12,IF($H175="Quarterly (From April)",$E175/4,IF($H175="Termly",$E175/3,IF($H175="Monthly (excl. August)",$E175/11,""))))</f>
        <v/>
      </c>
      <c r="J175" s="302" t="str">
        <f t="shared" ref="J175:K178" si="125">IF($H175="Monthly",$E175/12,IF($H175="Quarterly (From April)",0,IF($H175="Termly",0,IF($H175="Monthly (excl. August)",$E175/11,""))))</f>
        <v/>
      </c>
      <c r="K175" s="302" t="str">
        <f t="shared" si="125"/>
        <v/>
      </c>
      <c r="L175" s="302" t="str">
        <f>IF($H175="Monthly",$E175/12,IF($H175="Quarterly (From April)",$E175/4,IF($H175="Termly",0,IF($H175="Monthly (excl. August)",$E175/11,""))))</f>
        <v/>
      </c>
      <c r="M175" s="302" t="str">
        <f>IF($H175="Monthly",$E175/12,IF($H175="Quarterly (From April)",0,IF($H175="Termly",0,IF($H175="Monthly (excl. August)",0,""))))</f>
        <v/>
      </c>
      <c r="N175" s="302" t="str">
        <f>IF($H175="Monthly",$E175/12,IF($H175="Quarterly (From April)",0,IF($H175="Termly",$E175/3,IF($H175="Monthly (excl. August)",$E175/11,""))))</f>
        <v/>
      </c>
      <c r="O175" s="302" t="str">
        <f>IF($H175="Monthly",$E175/12,IF($H175="Quarterly (From April)",$E175/4,IF($H175="Termly",0,IF($H175="Monthly (excl. August)",$E175/11,""))))</f>
        <v/>
      </c>
      <c r="P175" s="302" t="str">
        <f t="shared" ref="P175:Q178" si="126">IF($H175="Monthly",$E175/12,IF($H175="Quarterly (From April)",0,IF($H175="Termly",0,IF($H175="Monthly (excl. August)",$E175/11,""))))</f>
        <v/>
      </c>
      <c r="Q175" s="302" t="str">
        <f t="shared" si="126"/>
        <v/>
      </c>
      <c r="R175" s="302" t="str">
        <f>IF($H175="Monthly",$E175/12,IF($H175="Quarterly (From April)",$E175/4,IF($H175="Termly",$E175/3,IF($H175="Monthly (excl. August)",$E175/11,""))))</f>
        <v/>
      </c>
      <c r="S175" s="302" t="str">
        <f t="shared" ref="S175:T178" si="127">IF($H175="Monthly",$E175/12,IF($H175="Quarterly (From April)",0,IF($H175="Termly",0,IF($H175="Monthly (excl. August)",$E175/11,""))))</f>
        <v/>
      </c>
      <c r="T175" s="302" t="str">
        <f t="shared" si="127"/>
        <v/>
      </c>
      <c r="U175" s="303">
        <f>E175</f>
        <v>0</v>
      </c>
      <c r="V175" s="214">
        <f>IF(ROUND(SUM(I175:T175),0)&gt;U175,1,IF(ROUND(SUM(I175:T175),0)&lt;U175,1,0))</f>
        <v>0</v>
      </c>
      <c r="W175" s="322">
        <f t="shared" si="103"/>
        <v>0</v>
      </c>
    </row>
    <row r="176" spans="1:23" x14ac:dyDescent="0.2">
      <c r="A176" s="1093"/>
      <c r="B176" s="160"/>
      <c r="C176" s="108"/>
      <c r="D176" s="95"/>
      <c r="E176" s="250"/>
      <c r="F176" s="251"/>
      <c r="H176" s="43" t="s">
        <v>267</v>
      </c>
      <c r="I176" s="302" t="str">
        <f>IF($H176="Monthly",$E176/12,IF($H176="Quarterly (From April)",$E176/4,IF($H176="Termly",$E176/3,IF($H176="Monthly (excl. August)",$E176/11,""))))</f>
        <v/>
      </c>
      <c r="J176" s="302" t="str">
        <f t="shared" si="125"/>
        <v/>
      </c>
      <c r="K176" s="302" t="str">
        <f t="shared" si="125"/>
        <v/>
      </c>
      <c r="L176" s="302" t="str">
        <f>IF($H176="Monthly",$E176/12,IF($H176="Quarterly (From April)",$E176/4,IF($H176="Termly",0,IF($H176="Monthly (excl. August)",$E176/11,""))))</f>
        <v/>
      </c>
      <c r="M176" s="302" t="str">
        <f>IF($H176="Monthly",$E176/12,IF($H176="Quarterly (From April)",0,IF($H176="Termly",0,IF($H176="Monthly (excl. August)",0,""))))</f>
        <v/>
      </c>
      <c r="N176" s="302" t="str">
        <f>IF($H176="Monthly",$E176/12,IF($H176="Quarterly (From April)",0,IF($H176="Termly",$E176/3,IF($H176="Monthly (excl. August)",$E176/11,""))))</f>
        <v/>
      </c>
      <c r="O176" s="302" t="str">
        <f>IF($H176="Monthly",$E176/12,IF($H176="Quarterly (From April)",$E176/4,IF($H176="Termly",0,IF($H176="Monthly (excl. August)",$E176/11,""))))</f>
        <v/>
      </c>
      <c r="P176" s="302" t="str">
        <f t="shared" si="126"/>
        <v/>
      </c>
      <c r="Q176" s="302" t="str">
        <f t="shared" si="126"/>
        <v/>
      </c>
      <c r="R176" s="302" t="str">
        <f>IF($H176="Monthly",$E176/12,IF($H176="Quarterly (From April)",$E176/4,IF($H176="Termly",$E176/3,IF($H176="Monthly (excl. August)",$E176/11,""))))</f>
        <v/>
      </c>
      <c r="S176" s="302" t="str">
        <f t="shared" si="127"/>
        <v/>
      </c>
      <c r="T176" s="302" t="str">
        <f t="shared" si="127"/>
        <v/>
      </c>
      <c r="U176" s="303">
        <f>E176</f>
        <v>0</v>
      </c>
      <c r="V176" s="214">
        <f>IF(ROUND(SUM(I176:T176),0)&gt;U176,1,IF(ROUND(SUM(I176:T176),0)&lt;U176,1,0))</f>
        <v>0</v>
      </c>
      <c r="W176" s="322">
        <f t="shared" si="103"/>
        <v>0</v>
      </c>
    </row>
    <row r="177" spans="1:23" x14ac:dyDescent="0.2">
      <c r="A177" s="1093"/>
      <c r="B177" s="160"/>
      <c r="C177" s="108"/>
      <c r="D177" s="95"/>
      <c r="E177" s="250"/>
      <c r="F177" s="251"/>
      <c r="H177" s="43" t="s">
        <v>267</v>
      </c>
      <c r="I177" s="302" t="str">
        <f>IF($H177="Monthly",$E177/12,IF($H177="Quarterly (From April)",$E177/4,IF($H177="Termly",$E177/3,IF($H177="Monthly (excl. August)",$E177/11,""))))</f>
        <v/>
      </c>
      <c r="J177" s="302" t="str">
        <f t="shared" si="125"/>
        <v/>
      </c>
      <c r="K177" s="302" t="str">
        <f t="shared" si="125"/>
        <v/>
      </c>
      <c r="L177" s="302" t="str">
        <f>IF($H177="Monthly",$E177/12,IF($H177="Quarterly (From April)",$E177/4,IF($H177="Termly",0,IF($H177="Monthly (excl. August)",$E177/11,""))))</f>
        <v/>
      </c>
      <c r="M177" s="302" t="str">
        <f>IF($H177="Monthly",$E177/12,IF($H177="Quarterly (From April)",0,IF($H177="Termly",0,IF($H177="Monthly (excl. August)",0,""))))</f>
        <v/>
      </c>
      <c r="N177" s="302" t="str">
        <f>IF($H177="Monthly",$E177/12,IF($H177="Quarterly (From April)",0,IF($H177="Termly",$E177/3,IF($H177="Monthly (excl. August)",$E177/11,""))))</f>
        <v/>
      </c>
      <c r="O177" s="302" t="str">
        <f>IF($H177="Monthly",$E177/12,IF($H177="Quarterly (From April)",$E177/4,IF($H177="Termly",0,IF($H177="Monthly (excl. August)",$E177/11,""))))</f>
        <v/>
      </c>
      <c r="P177" s="302" t="str">
        <f t="shared" si="126"/>
        <v/>
      </c>
      <c r="Q177" s="302" t="str">
        <f t="shared" si="126"/>
        <v/>
      </c>
      <c r="R177" s="302" t="str">
        <f>IF($H177="Monthly",$E177/12,IF($H177="Quarterly (From April)",$E177/4,IF($H177="Termly",$E177/3,IF($H177="Monthly (excl. August)",$E177/11,""))))</f>
        <v/>
      </c>
      <c r="S177" s="302" t="str">
        <f t="shared" si="127"/>
        <v/>
      </c>
      <c r="T177" s="302" t="str">
        <f t="shared" si="127"/>
        <v/>
      </c>
      <c r="U177" s="303">
        <f>E177</f>
        <v>0</v>
      </c>
      <c r="V177" s="214">
        <f>IF(ROUND(SUM(I177:T177),0)&gt;U177,1,IF(ROUND(SUM(I177:T177),0)&lt;U177,1,0))</f>
        <v>0</v>
      </c>
      <c r="W177" s="322">
        <f t="shared" si="103"/>
        <v>0</v>
      </c>
    </row>
    <row r="178" spans="1:23" ht="13.5" thickBot="1" x14ac:dyDescent="0.25">
      <c r="A178" s="1094"/>
      <c r="B178" s="161"/>
      <c r="C178" s="109"/>
      <c r="D178" s="100"/>
      <c r="E178" s="256"/>
      <c r="F178" s="257">
        <f>SUM(E175:E178)</f>
        <v>0</v>
      </c>
      <c r="H178" s="43" t="s">
        <v>267</v>
      </c>
      <c r="I178" s="302" t="str">
        <f>IF($H178="Monthly",$E178/12,IF($H178="Quarterly (From April)",$E178/4,IF($H178="Termly",$E178/3,IF($H178="Monthly (excl. August)",$E178/11,""))))</f>
        <v/>
      </c>
      <c r="J178" s="302" t="str">
        <f t="shared" si="125"/>
        <v/>
      </c>
      <c r="K178" s="302" t="str">
        <f t="shared" si="125"/>
        <v/>
      </c>
      <c r="L178" s="302" t="str">
        <f>IF($H178="Monthly",$E178/12,IF($H178="Quarterly (From April)",$E178/4,IF($H178="Termly",0,IF($H178="Monthly (excl. August)",$E178/11,""))))</f>
        <v/>
      </c>
      <c r="M178" s="302" t="str">
        <f>IF($H178="Monthly",$E178/12,IF($H178="Quarterly (From April)",0,IF($H178="Termly",0,IF($H178="Monthly (excl. August)",0,""))))</f>
        <v/>
      </c>
      <c r="N178" s="302" t="str">
        <f>IF($H178="Monthly",$E178/12,IF($H178="Quarterly (From April)",0,IF($H178="Termly",$E178/3,IF($H178="Monthly (excl. August)",$E178/11,""))))</f>
        <v/>
      </c>
      <c r="O178" s="302" t="str">
        <f>IF($H178="Monthly",$E178/12,IF($H178="Quarterly (From April)",$E178/4,IF($H178="Termly",0,IF($H178="Monthly (excl. August)",$E178/11,""))))</f>
        <v/>
      </c>
      <c r="P178" s="302" t="str">
        <f t="shared" si="126"/>
        <v/>
      </c>
      <c r="Q178" s="302" t="str">
        <f t="shared" si="126"/>
        <v/>
      </c>
      <c r="R178" s="302" t="str">
        <f>IF($H178="Monthly",$E178/12,IF($H178="Quarterly (From April)",$E178/4,IF($H178="Termly",$E178/3,IF($H178="Monthly (excl. August)",$E178/11,""))))</f>
        <v/>
      </c>
      <c r="S178" s="302" t="str">
        <f t="shared" si="127"/>
        <v/>
      </c>
      <c r="T178" s="302" t="str">
        <f t="shared" si="127"/>
        <v/>
      </c>
      <c r="U178" s="303">
        <f>E178</f>
        <v>0</v>
      </c>
      <c r="V178" s="214">
        <f>IF(ROUND(SUM(I178:T178),0)&gt;U178,1,IF(ROUND(SUM(I178:T178),0)&lt;U178,1,0))</f>
        <v>0</v>
      </c>
      <c r="W178" s="322">
        <f t="shared" si="103"/>
        <v>0</v>
      </c>
    </row>
    <row r="179" spans="1:23" ht="13.5" thickBot="1" x14ac:dyDescent="0.25">
      <c r="A179" s="8"/>
      <c r="B179" s="118"/>
      <c r="C179" s="106"/>
      <c r="D179" s="107"/>
      <c r="E179" s="267"/>
      <c r="F179" s="268"/>
      <c r="I179" s="306"/>
      <c r="J179" s="306"/>
      <c r="K179" s="306"/>
      <c r="L179" s="306"/>
      <c r="M179" s="306"/>
      <c r="N179" s="306"/>
      <c r="O179" s="306"/>
      <c r="P179" s="306"/>
      <c r="Q179" s="306"/>
      <c r="R179" s="306"/>
      <c r="S179" s="306"/>
      <c r="T179" s="306"/>
      <c r="U179" s="305"/>
      <c r="W179" s="322">
        <f t="shared" si="103"/>
        <v>0</v>
      </c>
    </row>
    <row r="180" spans="1:23" x14ac:dyDescent="0.2">
      <c r="A180" s="1110" t="s">
        <v>679</v>
      </c>
      <c r="B180" s="156">
        <v>1030</v>
      </c>
      <c r="C180" s="113" t="s">
        <v>473</v>
      </c>
      <c r="D180" s="93"/>
      <c r="E180" s="246"/>
      <c r="F180" s="247"/>
      <c r="H180" s="43" t="s">
        <v>267</v>
      </c>
      <c r="I180" s="302" t="str">
        <f>IF($H180="Monthly",$E180/12,IF($H180="Quarterly (From April)",$E180/4,IF($H180="Termly",$E180/3,IF($H180="Monthly (excl. August)",$E180/11,""))))</f>
        <v/>
      </c>
      <c r="J180" s="302" t="str">
        <f t="shared" ref="J180:K184" si="128">IF($H180="Monthly",$E180/12,IF($H180="Quarterly (From April)",0,IF($H180="Termly",0,IF($H180="Monthly (excl. August)",$E180/11,""))))</f>
        <v/>
      </c>
      <c r="K180" s="302" t="str">
        <f t="shared" si="128"/>
        <v/>
      </c>
      <c r="L180" s="302" t="str">
        <f>IF($H180="Monthly",$E180/12,IF($H180="Quarterly (From April)",$E180/4,IF($H180="Termly",0,IF($H180="Monthly (excl. August)",$E180/11,""))))</f>
        <v/>
      </c>
      <c r="M180" s="302" t="str">
        <f>IF($H180="Monthly",$E180/12,IF($H180="Quarterly (From April)",0,IF($H180="Termly",0,IF($H180="Monthly (excl. August)",0,""))))</f>
        <v/>
      </c>
      <c r="N180" s="302" t="str">
        <f>IF($H180="Monthly",$E180/12,IF($H180="Quarterly (From April)",0,IF($H180="Termly",$E180/3,IF($H180="Monthly (excl. August)",$E180/11,""))))</f>
        <v/>
      </c>
      <c r="O180" s="302" t="str">
        <f>IF($H180="Monthly",$E180/12,IF($H180="Quarterly (From April)",$E180/4,IF($H180="Termly",0,IF($H180="Monthly (excl. August)",$E180/11,""))))</f>
        <v/>
      </c>
      <c r="P180" s="302" t="str">
        <f t="shared" ref="P180:Q184" si="129">IF($H180="Monthly",$E180/12,IF($H180="Quarterly (From April)",0,IF($H180="Termly",0,IF($H180="Monthly (excl. August)",$E180/11,""))))</f>
        <v/>
      </c>
      <c r="Q180" s="302" t="str">
        <f t="shared" si="129"/>
        <v/>
      </c>
      <c r="R180" s="302" t="str">
        <f>IF($H180="Monthly",$E180/12,IF($H180="Quarterly (From April)",$E180/4,IF($H180="Termly",$E180/3,IF($H180="Monthly (excl. August)",$E180/11,""))))</f>
        <v/>
      </c>
      <c r="S180" s="302" t="str">
        <f t="shared" ref="S180:T184" si="130">IF($H180="Monthly",$E180/12,IF($H180="Quarterly (From April)",0,IF($H180="Termly",0,IF($H180="Monthly (excl. August)",$E180/11,""))))</f>
        <v/>
      </c>
      <c r="T180" s="302" t="str">
        <f t="shared" si="130"/>
        <v/>
      </c>
      <c r="U180" s="303">
        <f>E180</f>
        <v>0</v>
      </c>
      <c r="V180" s="214">
        <f>IF(ROUND(SUM(I180:T180),0)&gt;U180,1,IF(ROUND(SUM(I180:T180),0)&lt;U180,1,0))</f>
        <v>0</v>
      </c>
      <c r="W180" s="322">
        <f t="shared" si="103"/>
        <v>0</v>
      </c>
    </row>
    <row r="181" spans="1:23" x14ac:dyDescent="0.2">
      <c r="A181" s="1111"/>
      <c r="B181" s="157">
        <v>1040</v>
      </c>
      <c r="C181" s="108" t="s">
        <v>474</v>
      </c>
      <c r="D181" s="94"/>
      <c r="E181" s="248"/>
      <c r="F181" s="249"/>
      <c r="H181" s="43" t="s">
        <v>267</v>
      </c>
      <c r="I181" s="302" t="str">
        <f>IF($H181="Monthly",$E181/12,IF($H181="Quarterly (From April)",$E181/4,IF($H181="Termly",$E181/3,IF($H181="Monthly (excl. August)",$E181/11,""))))</f>
        <v/>
      </c>
      <c r="J181" s="302" t="str">
        <f t="shared" si="128"/>
        <v/>
      </c>
      <c r="K181" s="302" t="str">
        <f t="shared" si="128"/>
        <v/>
      </c>
      <c r="L181" s="302" t="str">
        <f>IF($H181="Monthly",$E181/12,IF($H181="Quarterly (From April)",$E181/4,IF($H181="Termly",0,IF($H181="Monthly (excl. August)",$E181/11,""))))</f>
        <v/>
      </c>
      <c r="M181" s="302" t="str">
        <f>IF($H181="Monthly",$E181/12,IF($H181="Quarterly (From April)",0,IF($H181="Termly",0,IF($H181="Monthly (excl. August)",0,""))))</f>
        <v/>
      </c>
      <c r="N181" s="302" t="str">
        <f>IF($H181="Monthly",$E181/12,IF($H181="Quarterly (From April)",0,IF($H181="Termly",$E181/3,IF($H181="Monthly (excl. August)",$E181/11,""))))</f>
        <v/>
      </c>
      <c r="O181" s="302" t="str">
        <f>IF($H181="Monthly",$E181/12,IF($H181="Quarterly (From April)",$E181/4,IF($H181="Termly",0,IF($H181="Monthly (excl. August)",$E181/11,""))))</f>
        <v/>
      </c>
      <c r="P181" s="302" t="str">
        <f t="shared" si="129"/>
        <v/>
      </c>
      <c r="Q181" s="302" t="str">
        <f t="shared" si="129"/>
        <v/>
      </c>
      <c r="R181" s="302" t="str">
        <f>IF($H181="Monthly",$E181/12,IF($H181="Quarterly (From April)",$E181/4,IF($H181="Termly",$E181/3,IF($H181="Monthly (excl. August)",$E181/11,""))))</f>
        <v/>
      </c>
      <c r="S181" s="302" t="str">
        <f t="shared" si="130"/>
        <v/>
      </c>
      <c r="T181" s="302" t="str">
        <f t="shared" si="130"/>
        <v/>
      </c>
      <c r="U181" s="303">
        <f>E181</f>
        <v>0</v>
      </c>
      <c r="V181" s="214">
        <f>IF(ROUND(SUM(I181:T181),0)&gt;U181,1,IF(ROUND(SUM(I181:T181),0)&lt;U181,1,0))</f>
        <v>0</v>
      </c>
      <c r="W181" s="322">
        <f t="shared" si="103"/>
        <v>0</v>
      </c>
    </row>
    <row r="182" spans="1:23" x14ac:dyDescent="0.2">
      <c r="A182" s="1111"/>
      <c r="B182" s="160">
        <v>1041</v>
      </c>
      <c r="C182" s="108" t="s">
        <v>475</v>
      </c>
      <c r="D182" s="94"/>
      <c r="E182" s="248"/>
      <c r="F182" s="249"/>
      <c r="H182" s="43" t="s">
        <v>267</v>
      </c>
      <c r="I182" s="302" t="str">
        <f>IF($H182="Monthly",$E182/12,IF($H182="Quarterly (From April)",$E182/4,IF($H182="Termly",$E182/3,IF($H182="Monthly (excl. August)",$E182/11,""))))</f>
        <v/>
      </c>
      <c r="J182" s="302" t="str">
        <f t="shared" si="128"/>
        <v/>
      </c>
      <c r="K182" s="302" t="str">
        <f t="shared" si="128"/>
        <v/>
      </c>
      <c r="L182" s="302" t="str">
        <f>IF($H182="Monthly",$E182/12,IF($H182="Quarterly (From April)",$E182/4,IF($H182="Termly",0,IF($H182="Monthly (excl. August)",$E182/11,""))))</f>
        <v/>
      </c>
      <c r="M182" s="302" t="str">
        <f>IF($H182="Monthly",$E182/12,IF($H182="Quarterly (From April)",0,IF($H182="Termly",0,IF($H182="Monthly (excl. August)",0,""))))</f>
        <v/>
      </c>
      <c r="N182" s="302" t="str">
        <f>IF($H182="Monthly",$E182/12,IF($H182="Quarterly (From April)",0,IF($H182="Termly",$E182/3,IF($H182="Monthly (excl. August)",$E182/11,""))))</f>
        <v/>
      </c>
      <c r="O182" s="302" t="str">
        <f>IF($H182="Monthly",$E182/12,IF($H182="Quarterly (From April)",$E182/4,IF($H182="Termly",0,IF($H182="Monthly (excl. August)",$E182/11,""))))</f>
        <v/>
      </c>
      <c r="P182" s="302" t="str">
        <f t="shared" si="129"/>
        <v/>
      </c>
      <c r="Q182" s="302" t="str">
        <f t="shared" si="129"/>
        <v/>
      </c>
      <c r="R182" s="302" t="str">
        <f>IF($H182="Monthly",$E182/12,IF($H182="Quarterly (From April)",$E182/4,IF($H182="Termly",$E182/3,IF($H182="Monthly (excl. August)",$E182/11,""))))</f>
        <v/>
      </c>
      <c r="S182" s="302" t="str">
        <f t="shared" si="130"/>
        <v/>
      </c>
      <c r="T182" s="302" t="str">
        <f t="shared" si="130"/>
        <v/>
      </c>
      <c r="U182" s="303">
        <f>E182</f>
        <v>0</v>
      </c>
      <c r="V182" s="214">
        <f>IF(ROUND(SUM(I182:T182),0)&gt;U182,1,IF(ROUND(SUM(I182:T182),0)&lt;U182,1,0))</f>
        <v>0</v>
      </c>
      <c r="W182" s="322">
        <f t="shared" si="103"/>
        <v>0</v>
      </c>
    </row>
    <row r="183" spans="1:23" x14ac:dyDescent="0.2">
      <c r="A183" s="1111"/>
      <c r="B183" s="160"/>
      <c r="C183" s="108"/>
      <c r="D183" s="95"/>
      <c r="E183" s="250"/>
      <c r="F183" s="251"/>
      <c r="H183" s="43" t="s">
        <v>267</v>
      </c>
      <c r="I183" s="302" t="str">
        <f>IF($H183="Monthly",$E183/12,IF($H183="Quarterly (From April)",$E183/4,IF($H183="Termly",$E183/3,IF($H183="Monthly (excl. August)",$E183/11,""))))</f>
        <v/>
      </c>
      <c r="J183" s="302" t="str">
        <f t="shared" si="128"/>
        <v/>
      </c>
      <c r="K183" s="302" t="str">
        <f t="shared" si="128"/>
        <v/>
      </c>
      <c r="L183" s="302" t="str">
        <f>IF($H183="Monthly",$E183/12,IF($H183="Quarterly (From April)",$E183/4,IF($H183="Termly",0,IF($H183="Monthly (excl. August)",$E183/11,""))))</f>
        <v/>
      </c>
      <c r="M183" s="302" t="str">
        <f>IF($H183="Monthly",$E183/12,IF($H183="Quarterly (From April)",0,IF($H183="Termly",0,IF($H183="Monthly (excl. August)",0,""))))</f>
        <v/>
      </c>
      <c r="N183" s="302" t="str">
        <f>IF($H183="Monthly",$E183/12,IF($H183="Quarterly (From April)",0,IF($H183="Termly",$E183/3,IF($H183="Monthly (excl. August)",$E183/11,""))))</f>
        <v/>
      </c>
      <c r="O183" s="302" t="str">
        <f>IF($H183="Monthly",$E183/12,IF($H183="Quarterly (From April)",$E183/4,IF($H183="Termly",0,IF($H183="Monthly (excl. August)",$E183/11,""))))</f>
        <v/>
      </c>
      <c r="P183" s="302" t="str">
        <f t="shared" si="129"/>
        <v/>
      </c>
      <c r="Q183" s="302" t="str">
        <f t="shared" si="129"/>
        <v/>
      </c>
      <c r="R183" s="302" t="str">
        <f>IF($H183="Monthly",$E183/12,IF($H183="Quarterly (From April)",$E183/4,IF($H183="Termly",$E183/3,IF($H183="Monthly (excl. August)",$E183/11,""))))</f>
        <v/>
      </c>
      <c r="S183" s="302" t="str">
        <f t="shared" si="130"/>
        <v/>
      </c>
      <c r="T183" s="302" t="str">
        <f t="shared" si="130"/>
        <v/>
      </c>
      <c r="U183" s="303">
        <f>E183</f>
        <v>0</v>
      </c>
      <c r="V183" s="214">
        <f>IF(ROUND(SUM(I183:T183),0)&gt;U183,1,IF(ROUND(SUM(I183:T183),0)&lt;U183,1,0))</f>
        <v>0</v>
      </c>
      <c r="W183" s="322">
        <f t="shared" si="103"/>
        <v>0</v>
      </c>
    </row>
    <row r="184" spans="1:23" ht="13.5" thickBot="1" x14ac:dyDescent="0.25">
      <c r="A184" s="1112"/>
      <c r="B184" s="161"/>
      <c r="C184" s="109"/>
      <c r="D184" s="100"/>
      <c r="E184" s="256"/>
      <c r="F184" s="257">
        <f>SUM(E180:E184)</f>
        <v>0</v>
      </c>
      <c r="H184" s="43" t="s">
        <v>267</v>
      </c>
      <c r="I184" s="302" t="str">
        <f>IF($H184="Monthly",$E184/12,IF($H184="Quarterly (From April)",$E184/4,IF($H184="Termly",$E184/3,IF($H184="Monthly (excl. August)",$E184/11,""))))</f>
        <v/>
      </c>
      <c r="J184" s="302" t="str">
        <f t="shared" si="128"/>
        <v/>
      </c>
      <c r="K184" s="302" t="str">
        <f t="shared" si="128"/>
        <v/>
      </c>
      <c r="L184" s="302" t="str">
        <f>IF($H184="Monthly",$E184/12,IF($H184="Quarterly (From April)",$E184/4,IF($H184="Termly",0,IF($H184="Monthly (excl. August)",$E184/11,""))))</f>
        <v/>
      </c>
      <c r="M184" s="302" t="str">
        <f>IF($H184="Monthly",$E184/12,IF($H184="Quarterly (From April)",0,IF($H184="Termly",0,IF($H184="Monthly (excl. August)",0,""))))</f>
        <v/>
      </c>
      <c r="N184" s="302" t="str">
        <f>IF($H184="Monthly",$E184/12,IF($H184="Quarterly (From April)",0,IF($H184="Termly",$E184/3,IF($H184="Monthly (excl. August)",$E184/11,""))))</f>
        <v/>
      </c>
      <c r="O184" s="302" t="str">
        <f>IF($H184="Monthly",$E184/12,IF($H184="Quarterly (From April)",$E184/4,IF($H184="Termly",0,IF($H184="Monthly (excl. August)",$E184/11,""))))</f>
        <v/>
      </c>
      <c r="P184" s="302" t="str">
        <f t="shared" si="129"/>
        <v/>
      </c>
      <c r="Q184" s="302" t="str">
        <f t="shared" si="129"/>
        <v/>
      </c>
      <c r="R184" s="302" t="str">
        <f>IF($H184="Monthly",$E184/12,IF($H184="Quarterly (From April)",$E184/4,IF($H184="Termly",$E184/3,IF($H184="Monthly (excl. August)",$E184/11,""))))</f>
        <v/>
      </c>
      <c r="S184" s="302" t="str">
        <f t="shared" si="130"/>
        <v/>
      </c>
      <c r="T184" s="302" t="str">
        <f t="shared" si="130"/>
        <v/>
      </c>
      <c r="U184" s="303">
        <f>E184</f>
        <v>0</v>
      </c>
      <c r="V184" s="214">
        <f>IF(ROUND(SUM(I184:T184),0)&gt;U184,1,IF(ROUND(SUM(I184:T184),0)&lt;U184,1,0))</f>
        <v>0</v>
      </c>
      <c r="W184" s="322">
        <f t="shared" si="103"/>
        <v>0</v>
      </c>
    </row>
    <row r="185" spans="1:23" ht="13.5" thickBot="1" x14ac:dyDescent="0.25">
      <c r="A185" s="8"/>
      <c r="B185" s="118"/>
      <c r="C185" s="106"/>
      <c r="D185" s="107"/>
      <c r="E185" s="267"/>
      <c r="F185" s="268"/>
      <c r="I185" s="306"/>
      <c r="J185" s="306"/>
      <c r="K185" s="306"/>
      <c r="L185" s="306"/>
      <c r="M185" s="306"/>
      <c r="N185" s="306"/>
      <c r="O185" s="306"/>
      <c r="P185" s="306"/>
      <c r="Q185" s="306"/>
      <c r="R185" s="306"/>
      <c r="S185" s="306"/>
      <c r="T185" s="306"/>
      <c r="U185" s="305"/>
      <c r="W185" s="322">
        <f t="shared" si="103"/>
        <v>0</v>
      </c>
    </row>
    <row r="186" spans="1:23" ht="25.5" x14ac:dyDescent="0.2">
      <c r="A186" s="1101" t="s">
        <v>476</v>
      </c>
      <c r="B186" s="156">
        <v>1046</v>
      </c>
      <c r="C186" s="113" t="s">
        <v>477</v>
      </c>
      <c r="D186" s="93" t="s">
        <v>1041</v>
      </c>
      <c r="E186" s="246">
        <v>1314</v>
      </c>
      <c r="F186" s="247"/>
      <c r="H186" s="43" t="s">
        <v>292</v>
      </c>
      <c r="I186" s="302">
        <f t="shared" ref="I186:I197" si="131">IF($H186="Monthly",$E186/12,IF($H186="Quarterly (From April)",$E186/4,IF($H186="Termly",$E186/3,IF($H186="Monthly (excl. August)",$E186/11,""))))</f>
        <v>328.5</v>
      </c>
      <c r="J186" s="302">
        <f t="shared" ref="J186:K197" si="132">IF($H186="Monthly",$E186/12,IF($H186="Quarterly (From April)",0,IF($H186="Termly",0,IF($H186="Monthly (excl. August)",$E186/11,""))))</f>
        <v>0</v>
      </c>
      <c r="K186" s="302">
        <f t="shared" si="132"/>
        <v>0</v>
      </c>
      <c r="L186" s="302">
        <f t="shared" ref="L186:L197" si="133">IF($H186="Monthly",$E186/12,IF($H186="Quarterly (From April)",$E186/4,IF($H186="Termly",0,IF($H186="Monthly (excl. August)",$E186/11,""))))</f>
        <v>328.5</v>
      </c>
      <c r="M186" s="302">
        <f t="shared" ref="M186:M197" si="134">IF($H186="Monthly",$E186/12,IF($H186="Quarterly (From April)",0,IF($H186="Termly",0,IF($H186="Monthly (excl. August)",0,""))))</f>
        <v>0</v>
      </c>
      <c r="N186" s="302">
        <f t="shared" ref="N186:N197" si="135">IF($H186="Monthly",$E186/12,IF($H186="Quarterly (From April)",0,IF($H186="Termly",$E186/3,IF($H186="Monthly (excl. August)",$E186/11,""))))</f>
        <v>0</v>
      </c>
      <c r="O186" s="302">
        <f t="shared" ref="O186:O197" si="136">IF($H186="Monthly",$E186/12,IF($H186="Quarterly (From April)",$E186/4,IF($H186="Termly",0,IF($H186="Monthly (excl. August)",$E186/11,""))))</f>
        <v>328.5</v>
      </c>
      <c r="P186" s="302">
        <f t="shared" ref="P186:Q197" si="137">IF($H186="Monthly",$E186/12,IF($H186="Quarterly (From April)",0,IF($H186="Termly",0,IF($H186="Monthly (excl. August)",$E186/11,""))))</f>
        <v>0</v>
      </c>
      <c r="Q186" s="302">
        <f t="shared" si="137"/>
        <v>0</v>
      </c>
      <c r="R186" s="302">
        <f t="shared" ref="R186:R197" si="138">IF($H186="Monthly",$E186/12,IF($H186="Quarterly (From April)",$E186/4,IF($H186="Termly",$E186/3,IF($H186="Monthly (excl. August)",$E186/11,""))))</f>
        <v>328.5</v>
      </c>
      <c r="S186" s="302">
        <f t="shared" ref="S186:T197" si="139">IF($H186="Monthly",$E186/12,IF($H186="Quarterly (From April)",0,IF($H186="Termly",0,IF($H186="Monthly (excl. August)",$E186/11,""))))</f>
        <v>0</v>
      </c>
      <c r="T186" s="302">
        <f t="shared" si="139"/>
        <v>0</v>
      </c>
      <c r="U186" s="303">
        <f t="shared" ref="U186:U197" si="140">E186</f>
        <v>1314</v>
      </c>
      <c r="V186" s="214">
        <f t="shared" ref="V186:V197" si="141">IF(ROUND(SUM(I186:T186),0)&gt;U186,1,IF(ROUND(SUM(I186:T186),0)&lt;U186,1,0))</f>
        <v>0</v>
      </c>
      <c r="W186" s="322">
        <f t="shared" si="103"/>
        <v>0</v>
      </c>
    </row>
    <row r="187" spans="1:23" x14ac:dyDescent="0.2">
      <c r="A187" s="1099"/>
      <c r="B187" s="157">
        <v>1030</v>
      </c>
      <c r="C187" s="108" t="s">
        <v>473</v>
      </c>
      <c r="D187" s="95"/>
      <c r="E187" s="250"/>
      <c r="F187" s="251"/>
      <c r="H187" s="43" t="s">
        <v>267</v>
      </c>
      <c r="I187" s="302" t="str">
        <f t="shared" si="131"/>
        <v/>
      </c>
      <c r="J187" s="302" t="str">
        <f t="shared" si="132"/>
        <v/>
      </c>
      <c r="K187" s="302" t="str">
        <f t="shared" si="132"/>
        <v/>
      </c>
      <c r="L187" s="302" t="str">
        <f t="shared" si="133"/>
        <v/>
      </c>
      <c r="M187" s="302" t="str">
        <f t="shared" si="134"/>
        <v/>
      </c>
      <c r="N187" s="302" t="str">
        <f t="shared" si="135"/>
        <v/>
      </c>
      <c r="O187" s="302" t="str">
        <f t="shared" si="136"/>
        <v/>
      </c>
      <c r="P187" s="302" t="str">
        <f t="shared" si="137"/>
        <v/>
      </c>
      <c r="Q187" s="302" t="str">
        <f t="shared" si="137"/>
        <v/>
      </c>
      <c r="R187" s="302" t="str">
        <f t="shared" si="138"/>
        <v/>
      </c>
      <c r="S187" s="302" t="str">
        <f t="shared" si="139"/>
        <v/>
      </c>
      <c r="T187" s="302" t="str">
        <f t="shared" si="139"/>
        <v/>
      </c>
      <c r="U187" s="303">
        <f t="shared" si="140"/>
        <v>0</v>
      </c>
      <c r="V187" s="214">
        <f t="shared" si="141"/>
        <v>0</v>
      </c>
      <c r="W187" s="322">
        <f t="shared" si="103"/>
        <v>0</v>
      </c>
    </row>
    <row r="188" spans="1:23" x14ac:dyDescent="0.2">
      <c r="A188" s="1099"/>
      <c r="B188" s="157">
        <v>1040</v>
      </c>
      <c r="C188" s="108" t="s">
        <v>474</v>
      </c>
      <c r="D188" s="95"/>
      <c r="E188" s="250"/>
      <c r="F188" s="251"/>
      <c r="H188" s="43" t="s">
        <v>267</v>
      </c>
      <c r="I188" s="302" t="str">
        <f t="shared" si="131"/>
        <v/>
      </c>
      <c r="J188" s="302" t="str">
        <f t="shared" si="132"/>
        <v/>
      </c>
      <c r="K188" s="302" t="str">
        <f t="shared" si="132"/>
        <v/>
      </c>
      <c r="L188" s="302" t="str">
        <f t="shared" si="133"/>
        <v/>
      </c>
      <c r="M188" s="302" t="str">
        <f t="shared" si="134"/>
        <v/>
      </c>
      <c r="N188" s="302" t="str">
        <f t="shared" si="135"/>
        <v/>
      </c>
      <c r="O188" s="302" t="str">
        <f t="shared" si="136"/>
        <v/>
      </c>
      <c r="P188" s="302" t="str">
        <f t="shared" si="137"/>
        <v/>
      </c>
      <c r="Q188" s="302" t="str">
        <f t="shared" si="137"/>
        <v/>
      </c>
      <c r="R188" s="302" t="str">
        <f t="shared" si="138"/>
        <v/>
      </c>
      <c r="S188" s="302" t="str">
        <f t="shared" si="139"/>
        <v/>
      </c>
      <c r="T188" s="302" t="str">
        <f t="shared" si="139"/>
        <v/>
      </c>
      <c r="U188" s="303">
        <f t="shared" si="140"/>
        <v>0</v>
      </c>
      <c r="V188" s="214">
        <f t="shared" si="141"/>
        <v>0</v>
      </c>
      <c r="W188" s="322">
        <f t="shared" si="103"/>
        <v>0</v>
      </c>
    </row>
    <row r="189" spans="1:23" x14ac:dyDescent="0.2">
      <c r="A189" s="1099"/>
      <c r="B189" s="157">
        <v>1041</v>
      </c>
      <c r="C189" s="108" t="s">
        <v>475</v>
      </c>
      <c r="D189" s="95" t="s">
        <v>1042</v>
      </c>
      <c r="E189" s="250">
        <v>3500</v>
      </c>
      <c r="F189" s="251"/>
      <c r="H189" s="43" t="s">
        <v>290</v>
      </c>
      <c r="I189" s="302">
        <f t="shared" si="131"/>
        <v>291.66666666666669</v>
      </c>
      <c r="J189" s="302">
        <f t="shared" si="132"/>
        <v>291.66666666666669</v>
      </c>
      <c r="K189" s="302">
        <f t="shared" si="132"/>
        <v>291.66666666666669</v>
      </c>
      <c r="L189" s="302">
        <f t="shared" si="133"/>
        <v>291.66666666666669</v>
      </c>
      <c r="M189" s="302">
        <f t="shared" si="134"/>
        <v>291.66666666666669</v>
      </c>
      <c r="N189" s="302">
        <f t="shared" si="135"/>
        <v>291.66666666666669</v>
      </c>
      <c r="O189" s="302">
        <f t="shared" si="136"/>
        <v>291.66666666666669</v>
      </c>
      <c r="P189" s="302">
        <f t="shared" si="137"/>
        <v>291.66666666666669</v>
      </c>
      <c r="Q189" s="302">
        <f t="shared" si="137"/>
        <v>291.66666666666669</v>
      </c>
      <c r="R189" s="302">
        <f t="shared" si="138"/>
        <v>291.66666666666669</v>
      </c>
      <c r="S189" s="302">
        <f t="shared" si="139"/>
        <v>291.66666666666669</v>
      </c>
      <c r="T189" s="302">
        <f t="shared" si="139"/>
        <v>291.66666666666669</v>
      </c>
      <c r="U189" s="303">
        <f t="shared" si="140"/>
        <v>3500</v>
      </c>
      <c r="V189" s="214">
        <f t="shared" si="141"/>
        <v>0</v>
      </c>
      <c r="W189" s="322">
        <f t="shared" si="103"/>
        <v>0</v>
      </c>
    </row>
    <row r="190" spans="1:23" ht="25.5" x14ac:dyDescent="0.2">
      <c r="A190" s="1099"/>
      <c r="B190" s="157">
        <v>1043</v>
      </c>
      <c r="C190" s="108" t="s">
        <v>478</v>
      </c>
      <c r="D190" s="95" t="s">
        <v>1043</v>
      </c>
      <c r="E190" s="250">
        <v>1440</v>
      </c>
      <c r="F190" s="251"/>
      <c r="H190" s="43" t="s">
        <v>292</v>
      </c>
      <c r="I190" s="302">
        <f t="shared" si="131"/>
        <v>360</v>
      </c>
      <c r="J190" s="302">
        <f t="shared" si="132"/>
        <v>0</v>
      </c>
      <c r="K190" s="302">
        <f t="shared" si="132"/>
        <v>0</v>
      </c>
      <c r="L190" s="302">
        <f t="shared" si="133"/>
        <v>360</v>
      </c>
      <c r="M190" s="302">
        <f t="shared" si="134"/>
        <v>0</v>
      </c>
      <c r="N190" s="302">
        <f t="shared" si="135"/>
        <v>0</v>
      </c>
      <c r="O190" s="302">
        <f t="shared" si="136"/>
        <v>360</v>
      </c>
      <c r="P190" s="302">
        <f t="shared" si="137"/>
        <v>0</v>
      </c>
      <c r="Q190" s="302">
        <f t="shared" si="137"/>
        <v>0</v>
      </c>
      <c r="R190" s="302">
        <f t="shared" si="138"/>
        <v>360</v>
      </c>
      <c r="S190" s="302">
        <f t="shared" si="139"/>
        <v>0</v>
      </c>
      <c r="T190" s="302">
        <f t="shared" si="139"/>
        <v>0</v>
      </c>
      <c r="U190" s="303">
        <f t="shared" si="140"/>
        <v>1440</v>
      </c>
      <c r="V190" s="214">
        <f t="shared" si="141"/>
        <v>0</v>
      </c>
      <c r="W190" s="322">
        <f t="shared" si="103"/>
        <v>0</v>
      </c>
    </row>
    <row r="191" spans="1:23" x14ac:dyDescent="0.2">
      <c r="A191" s="1099"/>
      <c r="B191" s="140">
        <v>2070</v>
      </c>
      <c r="C191" s="108" t="s">
        <v>656</v>
      </c>
      <c r="D191" s="95"/>
      <c r="E191" s="250"/>
      <c r="F191" s="251"/>
      <c r="H191" s="43" t="s">
        <v>267</v>
      </c>
      <c r="I191" s="302" t="str">
        <f t="shared" si="131"/>
        <v/>
      </c>
      <c r="J191" s="302" t="str">
        <f t="shared" si="132"/>
        <v/>
      </c>
      <c r="K191" s="302" t="str">
        <f t="shared" si="132"/>
        <v/>
      </c>
      <c r="L191" s="302" t="str">
        <f t="shared" si="133"/>
        <v/>
      </c>
      <c r="M191" s="302" t="str">
        <f t="shared" si="134"/>
        <v/>
      </c>
      <c r="N191" s="302" t="str">
        <f t="shared" si="135"/>
        <v/>
      </c>
      <c r="O191" s="302" t="str">
        <f t="shared" si="136"/>
        <v/>
      </c>
      <c r="P191" s="302" t="str">
        <f t="shared" si="137"/>
        <v/>
      </c>
      <c r="Q191" s="302" t="str">
        <f t="shared" si="137"/>
        <v/>
      </c>
      <c r="R191" s="302" t="str">
        <f t="shared" si="138"/>
        <v/>
      </c>
      <c r="S191" s="302" t="str">
        <f t="shared" si="139"/>
        <v/>
      </c>
      <c r="T191" s="302" t="str">
        <f t="shared" si="139"/>
        <v/>
      </c>
      <c r="U191" s="303">
        <f t="shared" si="140"/>
        <v>0</v>
      </c>
      <c r="V191" s="214">
        <f t="shared" si="141"/>
        <v>0</v>
      </c>
      <c r="W191" s="322">
        <f t="shared" si="103"/>
        <v>0</v>
      </c>
    </row>
    <row r="192" spans="1:23" x14ac:dyDescent="0.2">
      <c r="A192" s="1099"/>
      <c r="B192" s="157">
        <v>2905</v>
      </c>
      <c r="C192" s="108" t="s">
        <v>479</v>
      </c>
      <c r="D192" s="95"/>
      <c r="E192" s="250"/>
      <c r="F192" s="251"/>
      <c r="H192" s="43" t="s">
        <v>267</v>
      </c>
      <c r="I192" s="302" t="str">
        <f t="shared" si="131"/>
        <v/>
      </c>
      <c r="J192" s="302" t="str">
        <f t="shared" si="132"/>
        <v/>
      </c>
      <c r="K192" s="302" t="str">
        <f t="shared" si="132"/>
        <v/>
      </c>
      <c r="L192" s="302" t="str">
        <f t="shared" si="133"/>
        <v/>
      </c>
      <c r="M192" s="302" t="str">
        <f t="shared" si="134"/>
        <v/>
      </c>
      <c r="N192" s="302" t="str">
        <f t="shared" si="135"/>
        <v/>
      </c>
      <c r="O192" s="302" t="str">
        <f t="shared" si="136"/>
        <v/>
      </c>
      <c r="P192" s="302" t="str">
        <f t="shared" si="137"/>
        <v/>
      </c>
      <c r="Q192" s="302" t="str">
        <f t="shared" si="137"/>
        <v/>
      </c>
      <c r="R192" s="302" t="str">
        <f t="shared" si="138"/>
        <v/>
      </c>
      <c r="S192" s="302" t="str">
        <f t="shared" si="139"/>
        <v/>
      </c>
      <c r="T192" s="302" t="str">
        <f t="shared" si="139"/>
        <v/>
      </c>
      <c r="U192" s="303">
        <f t="shared" si="140"/>
        <v>0</v>
      </c>
      <c r="V192" s="214">
        <f t="shared" si="141"/>
        <v>0</v>
      </c>
      <c r="W192" s="322">
        <f t="shared" si="103"/>
        <v>0</v>
      </c>
    </row>
    <row r="193" spans="1:23" x14ac:dyDescent="0.2">
      <c r="A193" s="1099"/>
      <c r="B193" s="157"/>
      <c r="C193" s="108"/>
      <c r="D193" s="95"/>
      <c r="E193" s="250"/>
      <c r="F193" s="251"/>
      <c r="H193" s="43" t="s">
        <v>267</v>
      </c>
      <c r="I193" s="302" t="str">
        <f t="shared" si="131"/>
        <v/>
      </c>
      <c r="J193" s="302" t="str">
        <f t="shared" si="132"/>
        <v/>
      </c>
      <c r="K193" s="302" t="str">
        <f t="shared" si="132"/>
        <v/>
      </c>
      <c r="L193" s="302" t="str">
        <f t="shared" si="133"/>
        <v/>
      </c>
      <c r="M193" s="302" t="str">
        <f t="shared" si="134"/>
        <v/>
      </c>
      <c r="N193" s="302" t="str">
        <f t="shared" si="135"/>
        <v/>
      </c>
      <c r="O193" s="302" t="str">
        <f t="shared" si="136"/>
        <v/>
      </c>
      <c r="P193" s="302" t="str">
        <f t="shared" si="137"/>
        <v/>
      </c>
      <c r="Q193" s="302" t="str">
        <f t="shared" si="137"/>
        <v/>
      </c>
      <c r="R193" s="302" t="str">
        <f t="shared" si="138"/>
        <v/>
      </c>
      <c r="S193" s="302" t="str">
        <f t="shared" si="139"/>
        <v/>
      </c>
      <c r="T193" s="302" t="str">
        <f t="shared" si="139"/>
        <v/>
      </c>
      <c r="U193" s="303">
        <f t="shared" si="140"/>
        <v>0</v>
      </c>
      <c r="V193" s="214">
        <f t="shared" si="141"/>
        <v>0</v>
      </c>
      <c r="W193" s="322">
        <f t="shared" si="103"/>
        <v>0</v>
      </c>
    </row>
    <row r="194" spans="1:23" x14ac:dyDescent="0.2">
      <c r="A194" s="1099"/>
      <c r="B194" s="157"/>
      <c r="C194" s="108"/>
      <c r="D194" s="95"/>
      <c r="E194" s="250"/>
      <c r="F194" s="251"/>
      <c r="H194" s="43" t="s">
        <v>267</v>
      </c>
      <c r="I194" s="302" t="str">
        <f t="shared" si="131"/>
        <v/>
      </c>
      <c r="J194" s="302" t="str">
        <f t="shared" si="132"/>
        <v/>
      </c>
      <c r="K194" s="302" t="str">
        <f t="shared" si="132"/>
        <v/>
      </c>
      <c r="L194" s="302" t="str">
        <f t="shared" si="133"/>
        <v/>
      </c>
      <c r="M194" s="302" t="str">
        <f t="shared" si="134"/>
        <v/>
      </c>
      <c r="N194" s="302" t="str">
        <f t="shared" si="135"/>
        <v/>
      </c>
      <c r="O194" s="302" t="str">
        <f t="shared" si="136"/>
        <v/>
      </c>
      <c r="P194" s="302" t="str">
        <f t="shared" si="137"/>
        <v/>
      </c>
      <c r="Q194" s="302" t="str">
        <f t="shared" si="137"/>
        <v/>
      </c>
      <c r="R194" s="302" t="str">
        <f t="shared" si="138"/>
        <v/>
      </c>
      <c r="S194" s="302" t="str">
        <f t="shared" si="139"/>
        <v/>
      </c>
      <c r="T194" s="302" t="str">
        <f t="shared" si="139"/>
        <v/>
      </c>
      <c r="U194" s="303">
        <f t="shared" si="140"/>
        <v>0</v>
      </c>
      <c r="V194" s="214">
        <f t="shared" si="141"/>
        <v>0</v>
      </c>
      <c r="W194" s="322">
        <f t="shared" si="103"/>
        <v>0</v>
      </c>
    </row>
    <row r="195" spans="1:23" x14ac:dyDescent="0.2">
      <c r="A195" s="1099"/>
      <c r="B195" s="164"/>
      <c r="C195" s="325"/>
      <c r="D195" s="326"/>
      <c r="E195" s="327"/>
      <c r="F195" s="251"/>
      <c r="H195" s="43" t="s">
        <v>267</v>
      </c>
      <c r="I195" s="302" t="str">
        <f t="shared" si="131"/>
        <v/>
      </c>
      <c r="J195" s="302" t="str">
        <f t="shared" si="132"/>
        <v/>
      </c>
      <c r="K195" s="302" t="str">
        <f t="shared" si="132"/>
        <v/>
      </c>
      <c r="L195" s="302" t="str">
        <f t="shared" si="133"/>
        <v/>
      </c>
      <c r="M195" s="302" t="str">
        <f t="shared" si="134"/>
        <v/>
      </c>
      <c r="N195" s="302" t="str">
        <f t="shared" si="135"/>
        <v/>
      </c>
      <c r="O195" s="302" t="str">
        <f t="shared" si="136"/>
        <v/>
      </c>
      <c r="P195" s="302" t="str">
        <f t="shared" si="137"/>
        <v/>
      </c>
      <c r="Q195" s="302" t="str">
        <f t="shared" si="137"/>
        <v/>
      </c>
      <c r="R195" s="302" t="str">
        <f t="shared" si="138"/>
        <v/>
      </c>
      <c r="S195" s="302" t="str">
        <f t="shared" si="139"/>
        <v/>
      </c>
      <c r="T195" s="302" t="str">
        <f t="shared" si="139"/>
        <v/>
      </c>
      <c r="U195" s="303">
        <f t="shared" si="140"/>
        <v>0</v>
      </c>
      <c r="V195" s="214">
        <f t="shared" si="141"/>
        <v>0</v>
      </c>
      <c r="W195" s="322">
        <f t="shared" si="103"/>
        <v>0</v>
      </c>
    </row>
    <row r="196" spans="1:23" x14ac:dyDescent="0.2">
      <c r="A196" s="1099"/>
      <c r="B196" s="160"/>
      <c r="C196" s="141"/>
      <c r="D196" s="326"/>
      <c r="E196" s="327"/>
      <c r="F196" s="251"/>
      <c r="H196" s="43" t="s">
        <v>267</v>
      </c>
      <c r="I196" s="302" t="str">
        <f t="shared" si="131"/>
        <v/>
      </c>
      <c r="J196" s="302" t="str">
        <f t="shared" si="132"/>
        <v/>
      </c>
      <c r="K196" s="302" t="str">
        <f t="shared" si="132"/>
        <v/>
      </c>
      <c r="L196" s="302" t="str">
        <f t="shared" si="133"/>
        <v/>
      </c>
      <c r="M196" s="302" t="str">
        <f t="shared" si="134"/>
        <v/>
      </c>
      <c r="N196" s="302" t="str">
        <f t="shared" si="135"/>
        <v/>
      </c>
      <c r="O196" s="302" t="str">
        <f t="shared" si="136"/>
        <v/>
      </c>
      <c r="P196" s="302" t="str">
        <f t="shared" si="137"/>
        <v/>
      </c>
      <c r="Q196" s="302" t="str">
        <f t="shared" si="137"/>
        <v/>
      </c>
      <c r="R196" s="302" t="str">
        <f t="shared" si="138"/>
        <v/>
      </c>
      <c r="S196" s="302" t="str">
        <f t="shared" si="139"/>
        <v/>
      </c>
      <c r="T196" s="302" t="str">
        <f t="shared" si="139"/>
        <v/>
      </c>
      <c r="U196" s="303">
        <f t="shared" si="140"/>
        <v>0</v>
      </c>
      <c r="V196" s="214">
        <f t="shared" si="141"/>
        <v>0</v>
      </c>
      <c r="W196" s="322">
        <f t="shared" si="103"/>
        <v>0</v>
      </c>
    </row>
    <row r="197" spans="1:23" ht="13.5" thickBot="1" x14ac:dyDescent="0.25">
      <c r="A197" s="1100"/>
      <c r="B197" s="142">
        <v>8026</v>
      </c>
      <c r="C197" s="144" t="s">
        <v>480</v>
      </c>
      <c r="D197" s="310"/>
      <c r="E197" s="309"/>
      <c r="F197" s="257">
        <f>SUM(E186:E197)</f>
        <v>6254</v>
      </c>
      <c r="H197" s="43" t="s">
        <v>267</v>
      </c>
      <c r="I197" s="302" t="str">
        <f t="shared" si="131"/>
        <v/>
      </c>
      <c r="J197" s="302" t="str">
        <f t="shared" si="132"/>
        <v/>
      </c>
      <c r="K197" s="302" t="str">
        <f t="shared" si="132"/>
        <v/>
      </c>
      <c r="L197" s="302" t="str">
        <f t="shared" si="133"/>
        <v/>
      </c>
      <c r="M197" s="302" t="str">
        <f t="shared" si="134"/>
        <v/>
      </c>
      <c r="N197" s="302" t="str">
        <f t="shared" si="135"/>
        <v/>
      </c>
      <c r="O197" s="302" t="str">
        <f t="shared" si="136"/>
        <v/>
      </c>
      <c r="P197" s="302" t="str">
        <f t="shared" si="137"/>
        <v/>
      </c>
      <c r="Q197" s="302" t="str">
        <f t="shared" si="137"/>
        <v/>
      </c>
      <c r="R197" s="302" t="str">
        <f t="shared" si="138"/>
        <v/>
      </c>
      <c r="S197" s="302" t="str">
        <f t="shared" si="139"/>
        <v/>
      </c>
      <c r="T197" s="302" t="str">
        <f t="shared" si="139"/>
        <v/>
      </c>
      <c r="U197" s="303">
        <f t="shared" si="140"/>
        <v>0</v>
      </c>
      <c r="V197" s="214">
        <f t="shared" si="141"/>
        <v>0</v>
      </c>
      <c r="W197" s="322">
        <f t="shared" si="103"/>
        <v>0</v>
      </c>
    </row>
    <row r="198" spans="1:23" ht="13.5" thickBot="1" x14ac:dyDescent="0.25">
      <c r="A198" s="8"/>
      <c r="B198" s="118"/>
      <c r="C198" s="111"/>
      <c r="D198" s="107"/>
      <c r="E198" s="267"/>
      <c r="F198" s="270"/>
      <c r="I198" s="306"/>
      <c r="J198" s="306"/>
      <c r="K198" s="306"/>
      <c r="L198" s="306"/>
      <c r="M198" s="306"/>
      <c r="N198" s="306"/>
      <c r="O198" s="306"/>
      <c r="P198" s="306"/>
      <c r="Q198" s="306"/>
      <c r="R198" s="306"/>
      <c r="S198" s="306"/>
      <c r="T198" s="306"/>
      <c r="U198" s="305"/>
      <c r="W198" s="322">
        <f t="shared" si="103"/>
        <v>0</v>
      </c>
    </row>
    <row r="199" spans="1:23" x14ac:dyDescent="0.2">
      <c r="A199" s="1127" t="s">
        <v>251</v>
      </c>
      <c r="B199" s="170">
        <v>7602</v>
      </c>
      <c r="C199" s="113" t="s">
        <v>669</v>
      </c>
      <c r="D199" s="93" t="s">
        <v>717</v>
      </c>
      <c r="E199" s="246"/>
      <c r="F199" s="247"/>
      <c r="H199" s="43" t="s">
        <v>267</v>
      </c>
      <c r="I199" s="302" t="str">
        <f>IF($H199="Monthly",$E199/12,IF($H199="Quarterly (From April)",$E199/4,IF($H199="Termly",$E199/3,IF($H199="Monthly (excl. August)",$E199/11,""))))</f>
        <v/>
      </c>
      <c r="J199" s="302" t="str">
        <f t="shared" ref="J199:K203" si="142">IF($H199="Monthly",$E199/12,IF($H199="Quarterly (From April)",0,IF($H199="Termly",0,IF($H199="Monthly (excl. August)",$E199/11,""))))</f>
        <v/>
      </c>
      <c r="K199" s="302" t="str">
        <f t="shared" si="142"/>
        <v/>
      </c>
      <c r="L199" s="302" t="str">
        <f>IF($H199="Monthly",$E199/12,IF($H199="Quarterly (From April)",$E199/4,IF($H199="Termly",0,IF($H199="Monthly (excl. August)",$E199/11,""))))</f>
        <v/>
      </c>
      <c r="M199" s="302" t="str">
        <f>IF($H199="Monthly",$E199/12,IF($H199="Quarterly (From April)",0,IF($H199="Termly",0,IF($H199="Monthly (excl. August)",0,""))))</f>
        <v/>
      </c>
      <c r="N199" s="302" t="str">
        <f>IF($H199="Monthly",$E199/12,IF($H199="Quarterly (From April)",0,IF($H199="Termly",$E199/3,IF($H199="Monthly (excl. August)",$E199/11,""))))</f>
        <v/>
      </c>
      <c r="O199" s="302" t="str">
        <f>IF($H199="Monthly",$E199/12,IF($H199="Quarterly (From April)",$E199/4,IF($H199="Termly",0,IF($H199="Monthly (excl. August)",$E199/11,""))))</f>
        <v/>
      </c>
      <c r="P199" s="302" t="str">
        <f t="shared" ref="P199:Q203" si="143">IF($H199="Monthly",$E199/12,IF($H199="Quarterly (From April)",0,IF($H199="Termly",0,IF($H199="Monthly (excl. August)",$E199/11,""))))</f>
        <v/>
      </c>
      <c r="Q199" s="302" t="str">
        <f t="shared" si="143"/>
        <v/>
      </c>
      <c r="R199" s="302" t="str">
        <f>IF($H199="Monthly",$E199/12,IF($H199="Quarterly (From April)",$E199/4,IF($H199="Termly",$E199/3,IF($H199="Monthly (excl. August)",$E199/11,""))))</f>
        <v/>
      </c>
      <c r="S199" s="302" t="str">
        <f t="shared" ref="S199:T203" si="144">IF($H199="Monthly",$E199/12,IF($H199="Quarterly (From April)",0,IF($H199="Termly",0,IF($H199="Monthly (excl. August)",$E199/11,""))))</f>
        <v/>
      </c>
      <c r="T199" s="302" t="str">
        <f t="shared" si="144"/>
        <v/>
      </c>
      <c r="U199" s="303">
        <f>E199</f>
        <v>0</v>
      </c>
      <c r="V199" s="214">
        <f>IF(ROUND(SUM(I199:T199),0)&gt;U199,1,IF(ROUND(SUM(I199:T199),0)&lt;U199,1,0))</f>
        <v>0</v>
      </c>
      <c r="W199" s="322">
        <f t="shared" ref="W199:W241" si="145">ROUND(SUM(I199:T199)-U199,0)</f>
        <v>0</v>
      </c>
    </row>
    <row r="200" spans="1:23" x14ac:dyDescent="0.2">
      <c r="A200" s="1128"/>
      <c r="B200" s="160">
        <v>7602</v>
      </c>
      <c r="C200" s="108" t="s">
        <v>669</v>
      </c>
      <c r="D200" s="95" t="s">
        <v>718</v>
      </c>
      <c r="E200" s="250"/>
      <c r="F200" s="251"/>
      <c r="H200" s="43" t="s">
        <v>267</v>
      </c>
      <c r="I200" s="302" t="str">
        <f>IF($H200="Monthly",$E200/12,IF($H200="Quarterly (From April)",$E200/4,IF($H200="Termly",$E200/3,IF($H200="Monthly (excl. August)",$E200/11,""))))</f>
        <v/>
      </c>
      <c r="J200" s="302" t="str">
        <f t="shared" si="142"/>
        <v/>
      </c>
      <c r="K200" s="302" t="str">
        <f t="shared" si="142"/>
        <v/>
      </c>
      <c r="L200" s="302" t="str">
        <f>IF($H200="Monthly",$E200/12,IF($H200="Quarterly (From April)",$E200/4,IF($H200="Termly",0,IF($H200="Monthly (excl. August)",$E200/11,""))))</f>
        <v/>
      </c>
      <c r="M200" s="302" t="str">
        <f>IF($H200="Monthly",$E200/12,IF($H200="Quarterly (From April)",0,IF($H200="Termly",0,IF($H200="Monthly (excl. August)",0,""))))</f>
        <v/>
      </c>
      <c r="N200" s="302" t="str">
        <f>IF($H200="Monthly",$E200/12,IF($H200="Quarterly (From April)",0,IF($H200="Termly",$E200/3,IF($H200="Monthly (excl. August)",$E200/11,""))))</f>
        <v/>
      </c>
      <c r="O200" s="302" t="str">
        <f>IF($H200="Monthly",$E200/12,IF($H200="Quarterly (From April)",$E200/4,IF($H200="Termly",0,IF($H200="Monthly (excl. August)",$E200/11,""))))</f>
        <v/>
      </c>
      <c r="P200" s="302" t="str">
        <f t="shared" si="143"/>
        <v/>
      </c>
      <c r="Q200" s="302" t="str">
        <f t="shared" si="143"/>
        <v/>
      </c>
      <c r="R200" s="302" t="str">
        <f>IF($H200="Monthly",$E200/12,IF($H200="Quarterly (From April)",$E200/4,IF($H200="Termly",$E200/3,IF($H200="Monthly (excl. August)",$E200/11,""))))</f>
        <v/>
      </c>
      <c r="S200" s="302" t="str">
        <f t="shared" si="144"/>
        <v/>
      </c>
      <c r="T200" s="302" t="str">
        <f t="shared" si="144"/>
        <v/>
      </c>
      <c r="U200" s="303">
        <f>E200</f>
        <v>0</v>
      </c>
      <c r="V200" s="214">
        <f>IF(ROUND(SUM(I200:T200),0)&gt;U200,1,IF(ROUND(SUM(I200:T200),0)&lt;U200,1,0))</f>
        <v>0</v>
      </c>
      <c r="W200" s="322">
        <f t="shared" si="145"/>
        <v>0</v>
      </c>
    </row>
    <row r="201" spans="1:23" x14ac:dyDescent="0.2">
      <c r="A201" s="1128"/>
      <c r="B201" s="160">
        <v>7602</v>
      </c>
      <c r="C201" s="108" t="s">
        <v>669</v>
      </c>
      <c r="D201" s="95" t="s">
        <v>719</v>
      </c>
      <c r="E201" s="250"/>
      <c r="F201" s="251"/>
      <c r="H201" s="43" t="s">
        <v>267</v>
      </c>
      <c r="I201" s="302" t="str">
        <f>IF($H201="Monthly",$E201/12,IF($H201="Quarterly (From April)",$E201/4,IF($H201="Termly",$E201/3,IF($H201="Monthly (excl. August)",$E201/11,""))))</f>
        <v/>
      </c>
      <c r="J201" s="302" t="str">
        <f t="shared" si="142"/>
        <v/>
      </c>
      <c r="K201" s="302" t="str">
        <f t="shared" si="142"/>
        <v/>
      </c>
      <c r="L201" s="302" t="str">
        <f>IF($H201="Monthly",$E201/12,IF($H201="Quarterly (From April)",$E201/4,IF($H201="Termly",0,IF($H201="Monthly (excl. August)",$E201/11,""))))</f>
        <v/>
      </c>
      <c r="M201" s="302" t="str">
        <f>IF($H201="Monthly",$E201/12,IF($H201="Quarterly (From April)",0,IF($H201="Termly",0,IF($H201="Monthly (excl. August)",0,""))))</f>
        <v/>
      </c>
      <c r="N201" s="302" t="str">
        <f>IF($H201="Monthly",$E201/12,IF($H201="Quarterly (From April)",0,IF($H201="Termly",$E201/3,IF($H201="Monthly (excl. August)",$E201/11,""))))</f>
        <v/>
      </c>
      <c r="O201" s="302" t="str">
        <f>IF($H201="Monthly",$E201/12,IF($H201="Quarterly (From April)",$E201/4,IF($H201="Termly",0,IF($H201="Monthly (excl. August)",$E201/11,""))))</f>
        <v/>
      </c>
      <c r="P201" s="302" t="str">
        <f t="shared" si="143"/>
        <v/>
      </c>
      <c r="Q201" s="302" t="str">
        <f t="shared" si="143"/>
        <v/>
      </c>
      <c r="R201" s="302" t="str">
        <f>IF($H201="Monthly",$E201/12,IF($H201="Quarterly (From April)",$E201/4,IF($H201="Termly",$E201/3,IF($H201="Monthly (excl. August)",$E201/11,""))))</f>
        <v/>
      </c>
      <c r="S201" s="302" t="str">
        <f t="shared" si="144"/>
        <v/>
      </c>
      <c r="T201" s="302" t="str">
        <f t="shared" si="144"/>
        <v/>
      </c>
      <c r="U201" s="303">
        <f>E201</f>
        <v>0</v>
      </c>
      <c r="V201" s="214">
        <f>IF(ROUND(SUM(I201:T201),0)&gt;U201,1,IF(ROUND(SUM(I201:T201),0)&lt;U201,1,0))</f>
        <v>0</v>
      </c>
      <c r="W201" s="322">
        <f t="shared" si="145"/>
        <v>0</v>
      </c>
    </row>
    <row r="202" spans="1:23" x14ac:dyDescent="0.2">
      <c r="A202" s="1128"/>
      <c r="B202" s="160">
        <v>7602</v>
      </c>
      <c r="C202" s="108" t="s">
        <v>669</v>
      </c>
      <c r="D202" s="95" t="s">
        <v>720</v>
      </c>
      <c r="E202" s="250"/>
      <c r="F202" s="251"/>
      <c r="H202" s="43" t="s">
        <v>267</v>
      </c>
      <c r="I202" s="302" t="str">
        <f>IF($H202="Monthly",$E202/12,IF($H202="Quarterly (From April)",$E202/4,IF($H202="Termly",$E202/3,IF($H202="Monthly (excl. August)",$E202/11,""))))</f>
        <v/>
      </c>
      <c r="J202" s="302" t="str">
        <f t="shared" si="142"/>
        <v/>
      </c>
      <c r="K202" s="302" t="str">
        <f t="shared" si="142"/>
        <v/>
      </c>
      <c r="L202" s="302" t="str">
        <f>IF($H202="Monthly",$E202/12,IF($H202="Quarterly (From April)",$E202/4,IF($H202="Termly",0,IF($H202="Monthly (excl. August)",$E202/11,""))))</f>
        <v/>
      </c>
      <c r="M202" s="302" t="str">
        <f>IF($H202="Monthly",$E202/12,IF($H202="Quarterly (From April)",0,IF($H202="Termly",0,IF($H202="Monthly (excl. August)",0,""))))</f>
        <v/>
      </c>
      <c r="N202" s="302" t="str">
        <f>IF($H202="Monthly",$E202/12,IF($H202="Quarterly (From April)",0,IF($H202="Termly",$E202/3,IF($H202="Monthly (excl. August)",$E202/11,""))))</f>
        <v/>
      </c>
      <c r="O202" s="302" t="str">
        <f>IF($H202="Monthly",$E202/12,IF($H202="Quarterly (From April)",$E202/4,IF($H202="Termly",0,IF($H202="Monthly (excl. August)",$E202/11,""))))</f>
        <v/>
      </c>
      <c r="P202" s="302" t="str">
        <f t="shared" si="143"/>
        <v/>
      </c>
      <c r="Q202" s="302" t="str">
        <f t="shared" si="143"/>
        <v/>
      </c>
      <c r="R202" s="302" t="str">
        <f>IF($H202="Monthly",$E202/12,IF($H202="Quarterly (From April)",$E202/4,IF($H202="Termly",$E202/3,IF($H202="Monthly (excl. August)",$E202/11,""))))</f>
        <v/>
      </c>
      <c r="S202" s="302" t="str">
        <f t="shared" si="144"/>
        <v/>
      </c>
      <c r="T202" s="302" t="str">
        <f t="shared" si="144"/>
        <v/>
      </c>
      <c r="U202" s="303">
        <f>E202</f>
        <v>0</v>
      </c>
      <c r="V202" s="214">
        <f>IF(ROUND(SUM(I202:T202),0)&gt;U202,1,IF(ROUND(SUM(I202:T202),0)&lt;U202,1,0))</f>
        <v>0</v>
      </c>
      <c r="W202" s="322">
        <f t="shared" si="145"/>
        <v>0</v>
      </c>
    </row>
    <row r="203" spans="1:23" ht="13.5" thickBot="1" x14ac:dyDescent="0.25">
      <c r="A203" s="1129"/>
      <c r="B203" s="161">
        <v>7602</v>
      </c>
      <c r="C203" s="109" t="s">
        <v>669</v>
      </c>
      <c r="D203" s="100" t="s">
        <v>721</v>
      </c>
      <c r="E203" s="256"/>
      <c r="F203" s="257">
        <f>SUM(E199:E203)</f>
        <v>0</v>
      </c>
      <c r="H203" s="43" t="s">
        <v>267</v>
      </c>
      <c r="I203" s="302" t="str">
        <f>IF($H203="Monthly",$E203/12,IF($H203="Quarterly (From April)",$E203/4,IF($H203="Termly",$E203/3,IF($H203="Monthly (excl. August)",$E203/11,""))))</f>
        <v/>
      </c>
      <c r="J203" s="302" t="str">
        <f t="shared" si="142"/>
        <v/>
      </c>
      <c r="K203" s="302" t="str">
        <f t="shared" si="142"/>
        <v/>
      </c>
      <c r="L203" s="302" t="str">
        <f>IF($H203="Monthly",$E203/12,IF($H203="Quarterly (From April)",$E203/4,IF($H203="Termly",0,IF($H203="Monthly (excl. August)",$E203/11,""))))</f>
        <v/>
      </c>
      <c r="M203" s="302" t="str">
        <f>IF($H203="Monthly",$E203/12,IF($H203="Quarterly (From April)",0,IF($H203="Termly",0,IF($H203="Monthly (excl. August)",0,""))))</f>
        <v/>
      </c>
      <c r="N203" s="302" t="str">
        <f>IF($H203="Monthly",$E203/12,IF($H203="Quarterly (From April)",0,IF($H203="Termly",$E203/3,IF($H203="Monthly (excl. August)",$E203/11,""))))</f>
        <v/>
      </c>
      <c r="O203" s="302" t="str">
        <f>IF($H203="Monthly",$E203/12,IF($H203="Quarterly (From April)",$E203/4,IF($H203="Termly",0,IF($H203="Monthly (excl. August)",$E203/11,""))))</f>
        <v/>
      </c>
      <c r="P203" s="302" t="str">
        <f t="shared" si="143"/>
        <v/>
      </c>
      <c r="Q203" s="302" t="str">
        <f t="shared" si="143"/>
        <v/>
      </c>
      <c r="R203" s="302" t="str">
        <f>IF($H203="Monthly",$E203/12,IF($H203="Quarterly (From April)",$E203/4,IF($H203="Termly",$E203/3,IF($H203="Monthly (excl. August)",$E203/11,""))))</f>
        <v/>
      </c>
      <c r="S203" s="302" t="str">
        <f t="shared" si="144"/>
        <v/>
      </c>
      <c r="T203" s="302" t="str">
        <f t="shared" si="144"/>
        <v/>
      </c>
      <c r="U203" s="303">
        <f>E203</f>
        <v>0</v>
      </c>
      <c r="V203" s="214">
        <f>IF(ROUND(SUM(I203:T203),0)&gt;U203,1,IF(ROUND(SUM(I203:T203),0)&lt;U203,1,0))</f>
        <v>0</v>
      </c>
      <c r="W203" s="322">
        <f t="shared" si="145"/>
        <v>0</v>
      </c>
    </row>
    <row r="204" spans="1:23" ht="13.5" thickBot="1" x14ac:dyDescent="0.25">
      <c r="A204" s="41"/>
      <c r="B204" s="117"/>
      <c r="C204" s="101"/>
      <c r="D204" s="102"/>
      <c r="E204" s="259"/>
      <c r="F204" s="260"/>
      <c r="I204" s="306"/>
      <c r="J204" s="306"/>
      <c r="K204" s="306"/>
      <c r="L204" s="306"/>
      <c r="M204" s="306"/>
      <c r="N204" s="306"/>
      <c r="O204" s="306"/>
      <c r="P204" s="306"/>
      <c r="Q204" s="306"/>
      <c r="R204" s="306"/>
      <c r="S204" s="306"/>
      <c r="T204" s="306"/>
      <c r="U204" s="305"/>
      <c r="W204" s="322">
        <f t="shared" si="145"/>
        <v>0</v>
      </c>
    </row>
    <row r="205" spans="1:23" x14ac:dyDescent="0.2">
      <c r="A205" s="1098" t="s">
        <v>481</v>
      </c>
      <c r="B205" s="156">
        <v>1060</v>
      </c>
      <c r="C205" s="113" t="s">
        <v>482</v>
      </c>
      <c r="D205" s="93" t="s">
        <v>1040</v>
      </c>
      <c r="E205" s="246">
        <v>2340</v>
      </c>
      <c r="F205" s="247"/>
      <c r="H205" s="43" t="s">
        <v>290</v>
      </c>
      <c r="I205" s="302">
        <f t="shared" ref="I205:I210" si="146">IF($H205="Monthly",$E205/12,IF($H205="Quarterly (From April)",$E205/4,IF($H205="Termly",$E205/3,IF($H205="Monthly (excl. August)",$E205/11,""))))</f>
        <v>195</v>
      </c>
      <c r="J205" s="302">
        <f t="shared" ref="J205:K210" si="147">IF($H205="Monthly",$E205/12,IF($H205="Quarterly (From April)",0,IF($H205="Termly",0,IF($H205="Monthly (excl. August)",$E205/11,""))))</f>
        <v>195</v>
      </c>
      <c r="K205" s="302">
        <f t="shared" si="147"/>
        <v>195</v>
      </c>
      <c r="L205" s="302">
        <f t="shared" ref="L205:L210" si="148">IF($H205="Monthly",$E205/12,IF($H205="Quarterly (From April)",$E205/4,IF($H205="Termly",0,IF($H205="Monthly (excl. August)",$E205/11,""))))</f>
        <v>195</v>
      </c>
      <c r="M205" s="302">
        <f t="shared" ref="M205:M210" si="149">IF($H205="Monthly",$E205/12,IF($H205="Quarterly (From April)",0,IF($H205="Termly",0,IF($H205="Monthly (excl. August)",0,""))))</f>
        <v>195</v>
      </c>
      <c r="N205" s="302">
        <f t="shared" ref="N205:N210" si="150">IF($H205="Monthly",$E205/12,IF($H205="Quarterly (From April)",0,IF($H205="Termly",$E205/3,IF($H205="Monthly (excl. August)",$E205/11,""))))</f>
        <v>195</v>
      </c>
      <c r="O205" s="302">
        <f t="shared" ref="O205:O210" si="151">IF($H205="Monthly",$E205/12,IF($H205="Quarterly (From April)",$E205/4,IF($H205="Termly",0,IF($H205="Monthly (excl. August)",$E205/11,""))))</f>
        <v>195</v>
      </c>
      <c r="P205" s="302">
        <f t="shared" ref="P205:Q210" si="152">IF($H205="Monthly",$E205/12,IF($H205="Quarterly (From April)",0,IF($H205="Termly",0,IF($H205="Monthly (excl. August)",$E205/11,""))))</f>
        <v>195</v>
      </c>
      <c r="Q205" s="302">
        <f t="shared" si="152"/>
        <v>195</v>
      </c>
      <c r="R205" s="302">
        <f t="shared" ref="R205:R210" si="153">IF($H205="Monthly",$E205/12,IF($H205="Quarterly (From April)",$E205/4,IF($H205="Termly",$E205/3,IF($H205="Monthly (excl. August)",$E205/11,""))))</f>
        <v>195</v>
      </c>
      <c r="S205" s="302">
        <f t="shared" ref="S205:T210" si="154">IF($H205="Monthly",$E205/12,IF($H205="Quarterly (From April)",0,IF($H205="Termly",0,IF($H205="Monthly (excl. August)",$E205/11,""))))</f>
        <v>195</v>
      </c>
      <c r="T205" s="302">
        <f t="shared" si="154"/>
        <v>195</v>
      </c>
      <c r="U205" s="303">
        <f t="shared" ref="U205:U210" si="155">E205</f>
        <v>2340</v>
      </c>
      <c r="V205" s="214">
        <f t="shared" ref="V205:V210" si="156">IF(ROUND(SUM(I205:T205),0)&gt;U205,1,IF(ROUND(SUM(I205:T205),0)&lt;U205,1,0))</f>
        <v>0</v>
      </c>
      <c r="W205" s="322">
        <f t="shared" si="145"/>
        <v>0</v>
      </c>
    </row>
    <row r="206" spans="1:23" x14ac:dyDescent="0.2">
      <c r="A206" s="1099"/>
      <c r="B206" s="157">
        <v>1062</v>
      </c>
      <c r="C206" s="108" t="s">
        <v>483</v>
      </c>
      <c r="D206" s="95"/>
      <c r="E206" s="250"/>
      <c r="F206" s="251"/>
      <c r="H206" s="43" t="s">
        <v>267</v>
      </c>
      <c r="I206" s="302" t="str">
        <f t="shared" si="146"/>
        <v/>
      </c>
      <c r="J206" s="302" t="str">
        <f t="shared" si="147"/>
        <v/>
      </c>
      <c r="K206" s="302" t="str">
        <f t="shared" si="147"/>
        <v/>
      </c>
      <c r="L206" s="302" t="str">
        <f t="shared" si="148"/>
        <v/>
      </c>
      <c r="M206" s="302" t="str">
        <f t="shared" si="149"/>
        <v/>
      </c>
      <c r="N206" s="302" t="str">
        <f t="shared" si="150"/>
        <v/>
      </c>
      <c r="O206" s="302" t="str">
        <f t="shared" si="151"/>
        <v/>
      </c>
      <c r="P206" s="302" t="str">
        <f t="shared" si="152"/>
        <v/>
      </c>
      <c r="Q206" s="302" t="str">
        <f t="shared" si="152"/>
        <v/>
      </c>
      <c r="R206" s="302" t="str">
        <f t="shared" si="153"/>
        <v/>
      </c>
      <c r="S206" s="302" t="str">
        <f t="shared" si="154"/>
        <v/>
      </c>
      <c r="T206" s="302" t="str">
        <f t="shared" si="154"/>
        <v/>
      </c>
      <c r="U206" s="303">
        <f t="shared" si="155"/>
        <v>0</v>
      </c>
      <c r="V206" s="214">
        <f t="shared" si="156"/>
        <v>0</v>
      </c>
      <c r="W206" s="322">
        <f t="shared" si="145"/>
        <v>0</v>
      </c>
    </row>
    <row r="207" spans="1:23" x14ac:dyDescent="0.2">
      <c r="A207" s="1099"/>
      <c r="B207" s="157">
        <v>2300</v>
      </c>
      <c r="C207" s="108" t="s">
        <v>752</v>
      </c>
      <c r="D207" s="95"/>
      <c r="E207" s="250"/>
      <c r="F207" s="251"/>
      <c r="H207" s="43" t="s">
        <v>267</v>
      </c>
      <c r="I207" s="302" t="str">
        <f t="shared" si="146"/>
        <v/>
      </c>
      <c r="J207" s="302" t="str">
        <f t="shared" si="147"/>
        <v/>
      </c>
      <c r="K207" s="302" t="str">
        <f t="shared" si="147"/>
        <v/>
      </c>
      <c r="L207" s="302" t="str">
        <f t="shared" si="148"/>
        <v/>
      </c>
      <c r="M207" s="302" t="str">
        <f t="shared" si="149"/>
        <v/>
      </c>
      <c r="N207" s="302" t="str">
        <f t="shared" si="150"/>
        <v/>
      </c>
      <c r="O207" s="302" t="str">
        <f t="shared" si="151"/>
        <v/>
      </c>
      <c r="P207" s="302" t="str">
        <f t="shared" si="152"/>
        <v/>
      </c>
      <c r="Q207" s="302" t="str">
        <f t="shared" si="152"/>
        <v/>
      </c>
      <c r="R207" s="302" t="str">
        <f t="shared" si="153"/>
        <v/>
      </c>
      <c r="S207" s="302" t="str">
        <f t="shared" si="154"/>
        <v/>
      </c>
      <c r="T207" s="302" t="str">
        <f t="shared" si="154"/>
        <v/>
      </c>
      <c r="U207" s="303">
        <f t="shared" si="155"/>
        <v>0</v>
      </c>
      <c r="V207" s="214">
        <f t="shared" si="156"/>
        <v>0</v>
      </c>
      <c r="W207" s="322">
        <f t="shared" si="145"/>
        <v>0</v>
      </c>
    </row>
    <row r="208" spans="1:23" x14ac:dyDescent="0.2">
      <c r="A208" s="1099"/>
      <c r="B208" s="157"/>
      <c r="C208" s="108"/>
      <c r="D208" s="95"/>
      <c r="E208" s="250"/>
      <c r="F208" s="251"/>
      <c r="H208" s="43" t="s">
        <v>267</v>
      </c>
      <c r="I208" s="302" t="str">
        <f t="shared" si="146"/>
        <v/>
      </c>
      <c r="J208" s="302" t="str">
        <f t="shared" si="147"/>
        <v/>
      </c>
      <c r="K208" s="302" t="str">
        <f t="shared" si="147"/>
        <v/>
      </c>
      <c r="L208" s="302" t="str">
        <f t="shared" si="148"/>
        <v/>
      </c>
      <c r="M208" s="302" t="str">
        <f t="shared" si="149"/>
        <v/>
      </c>
      <c r="N208" s="302" t="str">
        <f t="shared" si="150"/>
        <v/>
      </c>
      <c r="O208" s="302" t="str">
        <f t="shared" si="151"/>
        <v/>
      </c>
      <c r="P208" s="302" t="str">
        <f t="shared" si="152"/>
        <v/>
      </c>
      <c r="Q208" s="302" t="str">
        <f t="shared" si="152"/>
        <v/>
      </c>
      <c r="R208" s="302" t="str">
        <f t="shared" si="153"/>
        <v/>
      </c>
      <c r="S208" s="302" t="str">
        <f t="shared" si="154"/>
        <v/>
      </c>
      <c r="T208" s="302" t="str">
        <f t="shared" si="154"/>
        <v/>
      </c>
      <c r="U208" s="303">
        <f t="shared" si="155"/>
        <v>0</v>
      </c>
      <c r="V208" s="214">
        <f t="shared" si="156"/>
        <v>0</v>
      </c>
      <c r="W208" s="322">
        <f t="shared" si="145"/>
        <v>0</v>
      </c>
    </row>
    <row r="209" spans="1:23" x14ac:dyDescent="0.2">
      <c r="A209" s="1099"/>
      <c r="B209" s="157"/>
      <c r="C209" s="108"/>
      <c r="D209" s="95"/>
      <c r="E209" s="250"/>
      <c r="F209" s="251"/>
      <c r="H209" s="43" t="s">
        <v>267</v>
      </c>
      <c r="I209" s="302" t="str">
        <f t="shared" si="146"/>
        <v/>
      </c>
      <c r="J209" s="302" t="str">
        <f t="shared" si="147"/>
        <v/>
      </c>
      <c r="K209" s="302" t="str">
        <f t="shared" si="147"/>
        <v/>
      </c>
      <c r="L209" s="302" t="str">
        <f t="shared" si="148"/>
        <v/>
      </c>
      <c r="M209" s="302" t="str">
        <f t="shared" si="149"/>
        <v/>
      </c>
      <c r="N209" s="302" t="str">
        <f t="shared" si="150"/>
        <v/>
      </c>
      <c r="O209" s="302" t="str">
        <f t="shared" si="151"/>
        <v/>
      </c>
      <c r="P209" s="302" t="str">
        <f t="shared" si="152"/>
        <v/>
      </c>
      <c r="Q209" s="302" t="str">
        <f t="shared" si="152"/>
        <v/>
      </c>
      <c r="R209" s="302" t="str">
        <f t="shared" si="153"/>
        <v/>
      </c>
      <c r="S209" s="302" t="str">
        <f t="shared" si="154"/>
        <v/>
      </c>
      <c r="T209" s="302" t="str">
        <f t="shared" si="154"/>
        <v/>
      </c>
      <c r="U209" s="303">
        <f t="shared" si="155"/>
        <v>0</v>
      </c>
      <c r="V209" s="214">
        <f t="shared" si="156"/>
        <v>0</v>
      </c>
      <c r="W209" s="322">
        <f t="shared" si="145"/>
        <v>0</v>
      </c>
    </row>
    <row r="210" spans="1:23" ht="13.5" thickBot="1" x14ac:dyDescent="0.25">
      <c r="A210" s="1100"/>
      <c r="B210" s="142">
        <v>8346</v>
      </c>
      <c r="C210" s="144" t="s">
        <v>484</v>
      </c>
      <c r="D210" s="310"/>
      <c r="E210" s="309"/>
      <c r="F210" s="257">
        <f>SUM(E205:E210)</f>
        <v>2340</v>
      </c>
      <c r="H210" s="43" t="s">
        <v>267</v>
      </c>
      <c r="I210" s="302" t="str">
        <f t="shared" si="146"/>
        <v/>
      </c>
      <c r="J210" s="302" t="str">
        <f t="shared" si="147"/>
        <v/>
      </c>
      <c r="K210" s="302" t="str">
        <f t="shared" si="147"/>
        <v/>
      </c>
      <c r="L210" s="302" t="str">
        <f t="shared" si="148"/>
        <v/>
      </c>
      <c r="M210" s="302" t="str">
        <f t="shared" si="149"/>
        <v/>
      </c>
      <c r="N210" s="302" t="str">
        <f t="shared" si="150"/>
        <v/>
      </c>
      <c r="O210" s="302" t="str">
        <f t="shared" si="151"/>
        <v/>
      </c>
      <c r="P210" s="302" t="str">
        <f t="shared" si="152"/>
        <v/>
      </c>
      <c r="Q210" s="302" t="str">
        <f t="shared" si="152"/>
        <v/>
      </c>
      <c r="R210" s="302" t="str">
        <f t="shared" si="153"/>
        <v/>
      </c>
      <c r="S210" s="302" t="str">
        <f t="shared" si="154"/>
        <v/>
      </c>
      <c r="T210" s="302" t="str">
        <f t="shared" si="154"/>
        <v/>
      </c>
      <c r="U210" s="303">
        <f t="shared" si="155"/>
        <v>0</v>
      </c>
      <c r="V210" s="214">
        <f t="shared" si="156"/>
        <v>0</v>
      </c>
      <c r="W210" s="322">
        <f t="shared" si="145"/>
        <v>0</v>
      </c>
    </row>
    <row r="211" spans="1:23" ht="13.5" thickBot="1" x14ac:dyDescent="0.25">
      <c r="A211" s="8"/>
      <c r="B211" s="118"/>
      <c r="C211" s="106"/>
      <c r="D211" s="107"/>
      <c r="E211" s="267"/>
      <c r="F211" s="268"/>
      <c r="G211" s="11"/>
      <c r="I211" s="306"/>
      <c r="J211" s="306"/>
      <c r="K211" s="306"/>
      <c r="L211" s="306"/>
      <c r="M211" s="306"/>
      <c r="N211" s="306"/>
      <c r="O211" s="306"/>
      <c r="P211" s="306"/>
      <c r="Q211" s="306"/>
      <c r="R211" s="306"/>
      <c r="S211" s="306"/>
      <c r="T211" s="306"/>
      <c r="U211" s="305"/>
      <c r="W211" s="322">
        <f t="shared" si="145"/>
        <v>0</v>
      </c>
    </row>
    <row r="212" spans="1:23" x14ac:dyDescent="0.2">
      <c r="A212" s="1098" t="s">
        <v>485</v>
      </c>
      <c r="B212" s="156">
        <v>1310</v>
      </c>
      <c r="C212" s="113" t="s">
        <v>650</v>
      </c>
      <c r="D212" s="1005" t="s">
        <v>1078</v>
      </c>
      <c r="E212" s="246">
        <v>862</v>
      </c>
      <c r="F212" s="247"/>
      <c r="H212" s="43" t="s">
        <v>290</v>
      </c>
      <c r="I212" s="302">
        <f t="shared" ref="I212:I222" si="157">IF($H212="Monthly",$E212/12,IF($H212="Quarterly (From April)",$E212/4,IF($H212="Termly",$E212/3,IF($H212="Monthly (excl. August)",$E212/11,""))))</f>
        <v>71.833333333333329</v>
      </c>
      <c r="J212" s="302">
        <f t="shared" ref="J212:K222" si="158">IF($H212="Monthly",$E212/12,IF($H212="Quarterly (From April)",0,IF($H212="Termly",0,IF($H212="Monthly (excl. August)",$E212/11,""))))</f>
        <v>71.833333333333329</v>
      </c>
      <c r="K212" s="302">
        <f t="shared" si="158"/>
        <v>71.833333333333329</v>
      </c>
      <c r="L212" s="302">
        <f t="shared" ref="L212:L222" si="159">IF($H212="Monthly",$E212/12,IF($H212="Quarterly (From April)",$E212/4,IF($H212="Termly",0,IF($H212="Monthly (excl. August)",$E212/11,""))))</f>
        <v>71.833333333333329</v>
      </c>
      <c r="M212" s="302">
        <f t="shared" ref="M212:M222" si="160">IF($H212="Monthly",$E212/12,IF($H212="Quarterly (From April)",0,IF($H212="Termly",0,IF($H212="Monthly (excl. August)",0,""))))</f>
        <v>71.833333333333329</v>
      </c>
      <c r="N212" s="302">
        <f t="shared" ref="N212:N222" si="161">IF($H212="Monthly",$E212/12,IF($H212="Quarterly (From April)",0,IF($H212="Termly",$E212/3,IF($H212="Monthly (excl. August)",$E212/11,""))))</f>
        <v>71.833333333333329</v>
      </c>
      <c r="O212" s="302">
        <f t="shared" ref="O212:O222" si="162">IF($H212="Monthly",$E212/12,IF($H212="Quarterly (From April)",$E212/4,IF($H212="Termly",0,IF($H212="Monthly (excl. August)",$E212/11,""))))</f>
        <v>71.833333333333329</v>
      </c>
      <c r="P212" s="302">
        <f t="shared" ref="P212:Q222" si="163">IF($H212="Monthly",$E212/12,IF($H212="Quarterly (From April)",0,IF($H212="Termly",0,IF($H212="Monthly (excl. August)",$E212/11,""))))</f>
        <v>71.833333333333329</v>
      </c>
      <c r="Q212" s="302">
        <f t="shared" si="163"/>
        <v>71.833333333333329</v>
      </c>
      <c r="R212" s="302">
        <f t="shared" ref="R212:R222" si="164">IF($H212="Monthly",$E212/12,IF($H212="Quarterly (From April)",$E212/4,IF($H212="Termly",$E212/3,IF($H212="Monthly (excl. August)",$E212/11,""))))</f>
        <v>71.833333333333329</v>
      </c>
      <c r="S212" s="302">
        <f t="shared" ref="S212:T222" si="165">IF($H212="Monthly",$E212/12,IF($H212="Quarterly (From April)",0,IF($H212="Termly",0,IF($H212="Monthly (excl. August)",$E212/11,""))))</f>
        <v>71.833333333333329</v>
      </c>
      <c r="T212" s="302">
        <f t="shared" si="165"/>
        <v>71.833333333333329</v>
      </c>
      <c r="U212" s="303">
        <f t="shared" ref="U212:U222" si="166">E212</f>
        <v>862</v>
      </c>
      <c r="V212" s="214">
        <f t="shared" ref="V212:V222" si="167">IF(ROUND(SUM(I212:T212),0)&gt;U212,1,IF(ROUND(SUM(I212:T212),0)&lt;U212,1,0))</f>
        <v>0</v>
      </c>
      <c r="W212" s="322">
        <f t="shared" si="145"/>
        <v>0</v>
      </c>
    </row>
    <row r="213" spans="1:23" x14ac:dyDescent="0.2">
      <c r="A213" s="1099"/>
      <c r="B213" s="163">
        <v>2009</v>
      </c>
      <c r="C213" s="114" t="s">
        <v>699</v>
      </c>
      <c r="D213" s="94"/>
      <c r="E213" s="248"/>
      <c r="F213" s="249"/>
      <c r="H213" s="43" t="s">
        <v>267</v>
      </c>
      <c r="I213" s="302" t="str">
        <f t="shared" si="157"/>
        <v/>
      </c>
      <c r="J213" s="302" t="str">
        <f t="shared" si="158"/>
        <v/>
      </c>
      <c r="K213" s="302" t="str">
        <f t="shared" si="158"/>
        <v/>
      </c>
      <c r="L213" s="302" t="str">
        <f t="shared" si="159"/>
        <v/>
      </c>
      <c r="M213" s="302" t="str">
        <f t="shared" si="160"/>
        <v/>
      </c>
      <c r="N213" s="302" t="str">
        <f t="shared" si="161"/>
        <v/>
      </c>
      <c r="O213" s="302" t="str">
        <f t="shared" si="162"/>
        <v/>
      </c>
      <c r="P213" s="302" t="str">
        <f t="shared" si="163"/>
        <v/>
      </c>
      <c r="Q213" s="302" t="str">
        <f t="shared" si="163"/>
        <v/>
      </c>
      <c r="R213" s="302" t="str">
        <f t="shared" si="164"/>
        <v/>
      </c>
      <c r="S213" s="302" t="str">
        <f t="shared" si="165"/>
        <v/>
      </c>
      <c r="T213" s="302" t="str">
        <f t="shared" si="165"/>
        <v/>
      </c>
      <c r="U213" s="303">
        <f t="shared" si="166"/>
        <v>0</v>
      </c>
      <c r="V213" s="214">
        <f t="shared" si="167"/>
        <v>0</v>
      </c>
      <c r="W213" s="322">
        <f t="shared" si="145"/>
        <v>0</v>
      </c>
    </row>
    <row r="214" spans="1:23" x14ac:dyDescent="0.2">
      <c r="A214" s="1099"/>
      <c r="B214" s="157">
        <v>1330</v>
      </c>
      <c r="C214" s="108" t="s">
        <v>488</v>
      </c>
      <c r="D214" s="94"/>
      <c r="E214" s="248"/>
      <c r="F214" s="249"/>
      <c r="H214" s="43" t="s">
        <v>267</v>
      </c>
      <c r="I214" s="302" t="str">
        <f t="shared" si="157"/>
        <v/>
      </c>
      <c r="J214" s="302" t="str">
        <f t="shared" si="158"/>
        <v/>
      </c>
      <c r="K214" s="302" t="str">
        <f t="shared" si="158"/>
        <v/>
      </c>
      <c r="L214" s="302" t="str">
        <f t="shared" si="159"/>
        <v/>
      </c>
      <c r="M214" s="302" t="str">
        <f t="shared" si="160"/>
        <v/>
      </c>
      <c r="N214" s="302" t="str">
        <f t="shared" si="161"/>
        <v/>
      </c>
      <c r="O214" s="302" t="str">
        <f t="shared" si="162"/>
        <v/>
      </c>
      <c r="P214" s="302" t="str">
        <f t="shared" si="163"/>
        <v/>
      </c>
      <c r="Q214" s="302" t="str">
        <f t="shared" si="163"/>
        <v/>
      </c>
      <c r="R214" s="302" t="str">
        <f t="shared" si="164"/>
        <v/>
      </c>
      <c r="S214" s="302" t="str">
        <f t="shared" si="165"/>
        <v/>
      </c>
      <c r="T214" s="302" t="str">
        <f t="shared" si="165"/>
        <v/>
      </c>
      <c r="U214" s="303">
        <f t="shared" si="166"/>
        <v>0</v>
      </c>
      <c r="V214" s="214">
        <f t="shared" si="167"/>
        <v>0</v>
      </c>
      <c r="W214" s="322">
        <f t="shared" si="145"/>
        <v>0</v>
      </c>
    </row>
    <row r="215" spans="1:23" ht="25.5" x14ac:dyDescent="0.2">
      <c r="A215" s="1099"/>
      <c r="B215" s="157">
        <v>1315</v>
      </c>
      <c r="C215" s="108" t="s">
        <v>681</v>
      </c>
      <c r="D215" s="94" t="s">
        <v>1088</v>
      </c>
      <c r="E215" s="248">
        <v>1057.2</v>
      </c>
      <c r="F215" s="249"/>
      <c r="H215" s="43" t="s">
        <v>290</v>
      </c>
      <c r="I215" s="302">
        <f t="shared" si="157"/>
        <v>88.100000000000009</v>
      </c>
      <c r="J215" s="302">
        <f t="shared" si="158"/>
        <v>88.100000000000009</v>
      </c>
      <c r="K215" s="302">
        <f t="shared" si="158"/>
        <v>88.100000000000009</v>
      </c>
      <c r="L215" s="302">
        <f t="shared" si="159"/>
        <v>88.100000000000009</v>
      </c>
      <c r="M215" s="302">
        <f t="shared" si="160"/>
        <v>88.100000000000009</v>
      </c>
      <c r="N215" s="302">
        <f t="shared" si="161"/>
        <v>88.100000000000009</v>
      </c>
      <c r="O215" s="302">
        <f t="shared" si="162"/>
        <v>88.100000000000009</v>
      </c>
      <c r="P215" s="302">
        <f t="shared" si="163"/>
        <v>88.100000000000009</v>
      </c>
      <c r="Q215" s="302">
        <f t="shared" si="163"/>
        <v>88.100000000000009</v>
      </c>
      <c r="R215" s="302">
        <f t="shared" si="164"/>
        <v>88.100000000000009</v>
      </c>
      <c r="S215" s="302">
        <f t="shared" si="165"/>
        <v>88.100000000000009</v>
      </c>
      <c r="T215" s="302">
        <f t="shared" si="165"/>
        <v>88.100000000000009</v>
      </c>
      <c r="U215" s="303">
        <f t="shared" si="166"/>
        <v>1057.2</v>
      </c>
      <c r="V215" s="214">
        <f t="shared" si="167"/>
        <v>1</v>
      </c>
      <c r="W215" s="322">
        <f t="shared" si="145"/>
        <v>0</v>
      </c>
    </row>
    <row r="216" spans="1:23" x14ac:dyDescent="0.2">
      <c r="A216" s="1099"/>
      <c r="B216" s="157">
        <v>1399</v>
      </c>
      <c r="C216" s="108" t="s">
        <v>489</v>
      </c>
      <c r="D216" s="95"/>
      <c r="E216" s="250"/>
      <c r="F216" s="251"/>
      <c r="H216" s="43" t="s">
        <v>291</v>
      </c>
      <c r="I216" s="302">
        <v>200</v>
      </c>
      <c r="J216" s="302" t="str">
        <f t="shared" si="158"/>
        <v/>
      </c>
      <c r="K216" s="302" t="str">
        <f t="shared" si="158"/>
        <v/>
      </c>
      <c r="L216" s="302" t="str">
        <f t="shared" si="159"/>
        <v/>
      </c>
      <c r="M216" s="302" t="str">
        <f t="shared" si="160"/>
        <v/>
      </c>
      <c r="N216" s="302" t="str">
        <f t="shared" si="161"/>
        <v/>
      </c>
      <c r="O216" s="302" t="str">
        <f t="shared" si="162"/>
        <v/>
      </c>
      <c r="P216" s="302" t="str">
        <f t="shared" si="163"/>
        <v/>
      </c>
      <c r="Q216" s="302" t="str">
        <f t="shared" si="163"/>
        <v/>
      </c>
      <c r="R216" s="302" t="str">
        <f t="shared" si="164"/>
        <v/>
      </c>
      <c r="S216" s="302" t="str">
        <f t="shared" si="165"/>
        <v/>
      </c>
      <c r="T216" s="302" t="str">
        <f t="shared" si="165"/>
        <v/>
      </c>
      <c r="U216" s="303">
        <f t="shared" si="166"/>
        <v>0</v>
      </c>
      <c r="V216" s="214">
        <f t="shared" si="167"/>
        <v>1</v>
      </c>
      <c r="W216" s="322">
        <f t="shared" si="145"/>
        <v>200</v>
      </c>
    </row>
    <row r="217" spans="1:23" x14ac:dyDescent="0.2">
      <c r="A217" s="1099"/>
      <c r="B217" s="164">
        <v>2655</v>
      </c>
      <c r="C217" s="115" t="s">
        <v>665</v>
      </c>
      <c r="D217" s="95"/>
      <c r="E217" s="250"/>
      <c r="F217" s="251"/>
      <c r="H217" s="43" t="s">
        <v>267</v>
      </c>
      <c r="I217" s="302" t="str">
        <f t="shared" si="157"/>
        <v/>
      </c>
      <c r="J217" s="302" t="str">
        <f t="shared" si="158"/>
        <v/>
      </c>
      <c r="K217" s="302" t="str">
        <f t="shared" si="158"/>
        <v/>
      </c>
      <c r="L217" s="302" t="str">
        <f t="shared" si="159"/>
        <v/>
      </c>
      <c r="M217" s="302" t="str">
        <f t="shared" si="160"/>
        <v/>
      </c>
      <c r="N217" s="302" t="str">
        <f t="shared" si="161"/>
        <v/>
      </c>
      <c r="O217" s="302" t="str">
        <f t="shared" si="162"/>
        <v/>
      </c>
      <c r="P217" s="302" t="str">
        <f t="shared" si="163"/>
        <v/>
      </c>
      <c r="Q217" s="302" t="str">
        <f t="shared" si="163"/>
        <v/>
      </c>
      <c r="R217" s="302" t="str">
        <f t="shared" si="164"/>
        <v/>
      </c>
      <c r="S217" s="302" t="str">
        <f t="shared" si="165"/>
        <v/>
      </c>
      <c r="T217" s="302" t="str">
        <f t="shared" si="165"/>
        <v/>
      </c>
      <c r="U217" s="303">
        <f t="shared" si="166"/>
        <v>0</v>
      </c>
      <c r="V217" s="214">
        <f t="shared" si="167"/>
        <v>0</v>
      </c>
      <c r="W217" s="322">
        <f t="shared" si="145"/>
        <v>0</v>
      </c>
    </row>
    <row r="218" spans="1:23" x14ac:dyDescent="0.2">
      <c r="A218" s="1099"/>
      <c r="B218" s="164">
        <v>1316</v>
      </c>
      <c r="C218" s="115" t="s">
        <v>664</v>
      </c>
      <c r="D218" s="95" t="s">
        <v>1045</v>
      </c>
      <c r="E218" s="250">
        <v>183</v>
      </c>
      <c r="F218" s="251"/>
      <c r="H218" s="43" t="s">
        <v>292</v>
      </c>
      <c r="I218" s="302">
        <f t="shared" si="157"/>
        <v>45.75</v>
      </c>
      <c r="J218" s="302">
        <f t="shared" si="158"/>
        <v>0</v>
      </c>
      <c r="K218" s="302">
        <f t="shared" si="158"/>
        <v>0</v>
      </c>
      <c r="L218" s="302">
        <f t="shared" si="159"/>
        <v>45.75</v>
      </c>
      <c r="M218" s="302">
        <f t="shared" si="160"/>
        <v>0</v>
      </c>
      <c r="N218" s="302">
        <f t="shared" si="161"/>
        <v>0</v>
      </c>
      <c r="O218" s="302">
        <f t="shared" si="162"/>
        <v>45.75</v>
      </c>
      <c r="P218" s="302">
        <f t="shared" si="163"/>
        <v>0</v>
      </c>
      <c r="Q218" s="302">
        <f t="shared" si="163"/>
        <v>0</v>
      </c>
      <c r="R218" s="302">
        <f t="shared" si="164"/>
        <v>45.75</v>
      </c>
      <c r="S218" s="302">
        <f t="shared" si="165"/>
        <v>0</v>
      </c>
      <c r="T218" s="302">
        <f t="shared" si="165"/>
        <v>0</v>
      </c>
      <c r="U218" s="303">
        <f t="shared" si="166"/>
        <v>183</v>
      </c>
      <c r="V218" s="214">
        <f t="shared" si="167"/>
        <v>0</v>
      </c>
      <c r="W218" s="322">
        <f t="shared" si="145"/>
        <v>0</v>
      </c>
    </row>
    <row r="219" spans="1:23" x14ac:dyDescent="0.2">
      <c r="A219" s="1099"/>
      <c r="B219" s="157">
        <v>2601</v>
      </c>
      <c r="C219" s="108" t="s">
        <v>598</v>
      </c>
      <c r="D219" s="95" t="s">
        <v>1044</v>
      </c>
      <c r="E219" s="250">
        <v>335</v>
      </c>
      <c r="F219" s="251"/>
      <c r="H219" s="43" t="s">
        <v>292</v>
      </c>
      <c r="I219" s="302">
        <f t="shared" si="157"/>
        <v>83.75</v>
      </c>
      <c r="J219" s="302">
        <f t="shared" si="158"/>
        <v>0</v>
      </c>
      <c r="K219" s="302">
        <f t="shared" si="158"/>
        <v>0</v>
      </c>
      <c r="L219" s="302">
        <f t="shared" si="159"/>
        <v>83.75</v>
      </c>
      <c r="M219" s="302">
        <f t="shared" si="160"/>
        <v>0</v>
      </c>
      <c r="N219" s="302">
        <f t="shared" si="161"/>
        <v>0</v>
      </c>
      <c r="O219" s="302">
        <f t="shared" si="162"/>
        <v>83.75</v>
      </c>
      <c r="P219" s="302">
        <f t="shared" si="163"/>
        <v>0</v>
      </c>
      <c r="Q219" s="302">
        <f t="shared" si="163"/>
        <v>0</v>
      </c>
      <c r="R219" s="302">
        <f t="shared" si="164"/>
        <v>83.75</v>
      </c>
      <c r="S219" s="302">
        <f t="shared" si="165"/>
        <v>0</v>
      </c>
      <c r="T219" s="302">
        <f t="shared" si="165"/>
        <v>0</v>
      </c>
      <c r="U219" s="303">
        <f t="shared" si="166"/>
        <v>335</v>
      </c>
      <c r="V219" s="214">
        <f t="shared" si="167"/>
        <v>0</v>
      </c>
      <c r="W219" s="322">
        <f t="shared" si="145"/>
        <v>0</v>
      </c>
    </row>
    <row r="220" spans="1:23" x14ac:dyDescent="0.2">
      <c r="A220" s="1099"/>
      <c r="B220" s="164"/>
      <c r="C220" s="115"/>
      <c r="D220" s="96"/>
      <c r="E220" s="252"/>
      <c r="F220" s="253"/>
      <c r="H220" s="43" t="s">
        <v>290</v>
      </c>
      <c r="I220" s="302">
        <f t="shared" si="157"/>
        <v>0</v>
      </c>
      <c r="J220" s="302">
        <f t="shared" si="158"/>
        <v>0</v>
      </c>
      <c r="K220" s="302">
        <f t="shared" si="158"/>
        <v>0</v>
      </c>
      <c r="L220" s="302">
        <f t="shared" si="159"/>
        <v>0</v>
      </c>
      <c r="M220" s="302">
        <f t="shared" si="160"/>
        <v>0</v>
      </c>
      <c r="N220" s="302">
        <f t="shared" si="161"/>
        <v>0</v>
      </c>
      <c r="O220" s="302">
        <f t="shared" si="162"/>
        <v>0</v>
      </c>
      <c r="P220" s="302">
        <f t="shared" si="163"/>
        <v>0</v>
      </c>
      <c r="Q220" s="302">
        <f t="shared" si="163"/>
        <v>0</v>
      </c>
      <c r="R220" s="302">
        <f t="shared" si="164"/>
        <v>0</v>
      </c>
      <c r="S220" s="302">
        <f t="shared" si="165"/>
        <v>0</v>
      </c>
      <c r="T220" s="302">
        <f t="shared" si="165"/>
        <v>0</v>
      </c>
      <c r="U220" s="303">
        <f t="shared" si="166"/>
        <v>0</v>
      </c>
      <c r="V220" s="214">
        <f t="shared" si="167"/>
        <v>0</v>
      </c>
      <c r="W220" s="322">
        <f t="shared" si="145"/>
        <v>0</v>
      </c>
    </row>
    <row r="221" spans="1:23" x14ac:dyDescent="0.2">
      <c r="A221" s="1099"/>
      <c r="B221" s="164"/>
      <c r="C221" s="115"/>
      <c r="D221" s="96"/>
      <c r="E221" s="252"/>
      <c r="F221" s="253"/>
      <c r="H221" s="43" t="s">
        <v>267</v>
      </c>
      <c r="I221" s="302" t="str">
        <f t="shared" si="157"/>
        <v/>
      </c>
      <c r="J221" s="302" t="str">
        <f t="shared" si="158"/>
        <v/>
      </c>
      <c r="K221" s="302" t="str">
        <f t="shared" si="158"/>
        <v/>
      </c>
      <c r="L221" s="302" t="str">
        <f t="shared" si="159"/>
        <v/>
      </c>
      <c r="M221" s="302" t="str">
        <f t="shared" si="160"/>
        <v/>
      </c>
      <c r="N221" s="302" t="str">
        <f t="shared" si="161"/>
        <v/>
      </c>
      <c r="O221" s="302" t="str">
        <f t="shared" si="162"/>
        <v/>
      </c>
      <c r="P221" s="302" t="str">
        <f t="shared" si="163"/>
        <v/>
      </c>
      <c r="Q221" s="302" t="str">
        <f t="shared" si="163"/>
        <v/>
      </c>
      <c r="R221" s="302" t="str">
        <f t="shared" si="164"/>
        <v/>
      </c>
      <c r="S221" s="302" t="str">
        <f t="shared" si="165"/>
        <v/>
      </c>
      <c r="T221" s="302" t="str">
        <f t="shared" si="165"/>
        <v/>
      </c>
      <c r="U221" s="303">
        <f t="shared" si="166"/>
        <v>0</v>
      </c>
      <c r="V221" s="214">
        <f t="shared" si="167"/>
        <v>0</v>
      </c>
      <c r="W221" s="322">
        <f t="shared" si="145"/>
        <v>0</v>
      </c>
    </row>
    <row r="222" spans="1:23" ht="13.5" thickBot="1" x14ac:dyDescent="0.25">
      <c r="A222" s="1100"/>
      <c r="B222" s="158"/>
      <c r="C222" s="109"/>
      <c r="D222" s="100"/>
      <c r="E222" s="256"/>
      <c r="F222" s="257">
        <f>SUM(E212:E222)</f>
        <v>2437.1999999999998</v>
      </c>
      <c r="H222" s="43" t="s">
        <v>267</v>
      </c>
      <c r="I222" s="302" t="str">
        <f t="shared" si="157"/>
        <v/>
      </c>
      <c r="J222" s="302" t="str">
        <f t="shared" si="158"/>
        <v/>
      </c>
      <c r="K222" s="302" t="str">
        <f t="shared" si="158"/>
        <v/>
      </c>
      <c r="L222" s="302" t="str">
        <f t="shared" si="159"/>
        <v/>
      </c>
      <c r="M222" s="302" t="str">
        <f t="shared" si="160"/>
        <v/>
      </c>
      <c r="N222" s="302" t="str">
        <f t="shared" si="161"/>
        <v/>
      </c>
      <c r="O222" s="302" t="str">
        <f t="shared" si="162"/>
        <v/>
      </c>
      <c r="P222" s="302" t="str">
        <f t="shared" si="163"/>
        <v/>
      </c>
      <c r="Q222" s="302" t="str">
        <f t="shared" si="163"/>
        <v/>
      </c>
      <c r="R222" s="302" t="str">
        <f t="shared" si="164"/>
        <v/>
      </c>
      <c r="S222" s="302" t="str">
        <f t="shared" si="165"/>
        <v/>
      </c>
      <c r="T222" s="302" t="str">
        <f t="shared" si="165"/>
        <v/>
      </c>
      <c r="U222" s="303">
        <f t="shared" si="166"/>
        <v>0</v>
      </c>
      <c r="V222" s="214">
        <f t="shared" si="167"/>
        <v>0</v>
      </c>
      <c r="W222" s="322">
        <f t="shared" si="145"/>
        <v>0</v>
      </c>
    </row>
    <row r="223" spans="1:23" ht="13.5" thickBot="1" x14ac:dyDescent="0.25">
      <c r="A223" s="8"/>
      <c r="B223" s="118"/>
      <c r="C223" s="106"/>
      <c r="D223" s="107"/>
      <c r="E223" s="267"/>
      <c r="F223" s="268"/>
      <c r="G223" s="11"/>
      <c r="I223" s="306"/>
      <c r="J223" s="306"/>
      <c r="K223" s="306"/>
      <c r="L223" s="306"/>
      <c r="M223" s="306"/>
      <c r="N223" s="306"/>
      <c r="O223" s="306"/>
      <c r="P223" s="306"/>
      <c r="Q223" s="306"/>
      <c r="R223" s="306"/>
      <c r="S223" s="306"/>
      <c r="T223" s="306"/>
      <c r="U223" s="305"/>
      <c r="W223" s="322">
        <f t="shared" si="145"/>
        <v>0</v>
      </c>
    </row>
    <row r="224" spans="1:23" x14ac:dyDescent="0.2">
      <c r="A224" s="1098" t="s">
        <v>490</v>
      </c>
      <c r="B224" s="156">
        <v>1301</v>
      </c>
      <c r="C224" s="113" t="s">
        <v>491</v>
      </c>
      <c r="D224" s="93"/>
      <c r="E224" s="246"/>
      <c r="F224" s="247"/>
      <c r="H224" s="43" t="s">
        <v>267</v>
      </c>
      <c r="I224" s="302" t="str">
        <f>IF($H224="Monthly",$E224/12,IF($H224="Quarterly (From April)",$E224/4,IF($H224="Termly",$E224/3,IF($H224="Monthly (excl. August)",$E224/11,""))))</f>
        <v/>
      </c>
      <c r="J224" s="302" t="str">
        <f t="shared" ref="J224:K227" si="168">IF($H224="Monthly",$E224/12,IF($H224="Quarterly (From April)",0,IF($H224="Termly",0,IF($H224="Monthly (excl. August)",$E224/11,""))))</f>
        <v/>
      </c>
      <c r="K224" s="302" t="str">
        <f t="shared" si="168"/>
        <v/>
      </c>
      <c r="L224" s="302" t="str">
        <f>IF($H224="Monthly",$E224/12,IF($H224="Quarterly (From April)",$E224/4,IF($H224="Termly",0,IF($H224="Monthly (excl. August)",$E224/11,""))))</f>
        <v/>
      </c>
      <c r="M224" s="302" t="str">
        <f>IF($H224="Monthly",$E224/12,IF($H224="Quarterly (From April)",0,IF($H224="Termly",0,IF($H224="Monthly (excl. August)",0,""))))</f>
        <v/>
      </c>
      <c r="N224" s="302" t="str">
        <f>IF($H224="Monthly",$E224/12,IF($H224="Quarterly (From April)",0,IF($H224="Termly",$E224/3,IF($H224="Monthly (excl. August)",$E224/11,""))))</f>
        <v/>
      </c>
      <c r="O224" s="302" t="str">
        <f>IF($H224="Monthly",$E224/12,IF($H224="Quarterly (From April)",$E224/4,IF($H224="Termly",0,IF($H224="Monthly (excl. August)",$E224/11,""))))</f>
        <v/>
      </c>
      <c r="P224" s="302" t="str">
        <f t="shared" ref="P224:Q227" si="169">IF($H224="Monthly",$E224/12,IF($H224="Quarterly (From April)",0,IF($H224="Termly",0,IF($H224="Monthly (excl. August)",$E224/11,""))))</f>
        <v/>
      </c>
      <c r="Q224" s="302" t="str">
        <f t="shared" si="169"/>
        <v/>
      </c>
      <c r="R224" s="302" t="str">
        <f>IF($H224="Monthly",$E224/12,IF($H224="Quarterly (From April)",$E224/4,IF($H224="Termly",$E224/3,IF($H224="Monthly (excl. August)",$E224/11,""))))</f>
        <v/>
      </c>
      <c r="S224" s="302" t="str">
        <f t="shared" ref="S224:T227" si="170">IF($H224="Monthly",$E224/12,IF($H224="Quarterly (From April)",0,IF($H224="Termly",0,IF($H224="Monthly (excl. August)",$E224/11,""))))</f>
        <v/>
      </c>
      <c r="T224" s="302" t="str">
        <f t="shared" si="170"/>
        <v/>
      </c>
      <c r="U224" s="303">
        <f>E224</f>
        <v>0</v>
      </c>
      <c r="V224" s="214">
        <f>IF(ROUND(SUM(I224:T224),0)&gt;U224,1,IF(ROUND(SUM(I224:T224),0)&lt;U224,1,0))</f>
        <v>0</v>
      </c>
      <c r="W224" s="322">
        <f t="shared" si="145"/>
        <v>0</v>
      </c>
    </row>
    <row r="225" spans="1:23" x14ac:dyDescent="0.2">
      <c r="A225" s="1099"/>
      <c r="B225" s="157">
        <v>1302</v>
      </c>
      <c r="C225" s="108" t="s">
        <v>492</v>
      </c>
      <c r="D225" s="95" t="s">
        <v>1046</v>
      </c>
      <c r="E225" s="250">
        <v>5330</v>
      </c>
      <c r="F225" s="251"/>
      <c r="H225" s="43" t="s">
        <v>292</v>
      </c>
      <c r="I225" s="302">
        <f>IF($H225="Monthly",$E225/12,IF($H225="Quarterly (From April)",$E225/4,IF($H225="Termly",$E225/3,IF($H225="Monthly (excl. August)",$E225/11,""))))</f>
        <v>1332.5</v>
      </c>
      <c r="J225" s="302">
        <f t="shared" si="168"/>
        <v>0</v>
      </c>
      <c r="K225" s="302">
        <f t="shared" si="168"/>
        <v>0</v>
      </c>
      <c r="L225" s="302">
        <f>IF($H225="Monthly",$E225/12,IF($H225="Quarterly (From April)",$E225/4,IF($H225="Termly",0,IF($H225="Monthly (excl. August)",$E225/11,""))))</f>
        <v>1332.5</v>
      </c>
      <c r="M225" s="302">
        <f>IF($H225="Monthly",$E225/12,IF($H225="Quarterly (From April)",0,IF($H225="Termly",0,IF($H225="Monthly (excl. August)",0,""))))</f>
        <v>0</v>
      </c>
      <c r="N225" s="302">
        <f>IF($H225="Monthly",$E225/12,IF($H225="Quarterly (From April)",0,IF($H225="Termly",$E225/3,IF($H225="Monthly (excl. August)",$E225/11,""))))</f>
        <v>0</v>
      </c>
      <c r="O225" s="302">
        <f>IF($H225="Monthly",$E225/12,IF($H225="Quarterly (From April)",$E225/4,IF($H225="Termly",0,IF($H225="Monthly (excl. August)",$E225/11,""))))</f>
        <v>1332.5</v>
      </c>
      <c r="P225" s="302">
        <f t="shared" si="169"/>
        <v>0</v>
      </c>
      <c r="Q225" s="302">
        <f t="shared" si="169"/>
        <v>0</v>
      </c>
      <c r="R225" s="302">
        <f>IF($H225="Monthly",$E225/12,IF($H225="Quarterly (From April)",$E225/4,IF($H225="Termly",$E225/3,IF($H225="Monthly (excl. August)",$E225/11,""))))</f>
        <v>1332.5</v>
      </c>
      <c r="S225" s="302">
        <f t="shared" si="170"/>
        <v>0</v>
      </c>
      <c r="T225" s="302">
        <f t="shared" si="170"/>
        <v>0</v>
      </c>
      <c r="U225" s="303">
        <f>E225</f>
        <v>5330</v>
      </c>
      <c r="V225" s="214">
        <f>IF(ROUND(SUM(I225:T225),0)&gt;U225,1,IF(ROUND(SUM(I225:T225),0)&lt;U225,1,0))</f>
        <v>0</v>
      </c>
      <c r="W225" s="322">
        <f t="shared" si="145"/>
        <v>0</v>
      </c>
    </row>
    <row r="226" spans="1:23" x14ac:dyDescent="0.2">
      <c r="A226" s="1099"/>
      <c r="B226" s="157">
        <v>1303</v>
      </c>
      <c r="C226" s="108" t="s">
        <v>493</v>
      </c>
      <c r="D226" s="95" t="s">
        <v>1046</v>
      </c>
      <c r="E226" s="250">
        <v>2497</v>
      </c>
      <c r="F226" s="251"/>
      <c r="H226" s="43" t="s">
        <v>291</v>
      </c>
      <c r="I226" s="302" t="str">
        <f>IF($H226="Monthly",$E226/12,IF($H226="Quarterly (From April)",$E226/4,IF($H226="Termly",$E226/3,IF($H226="Monthly (excl. August)",$E226/11,""))))</f>
        <v/>
      </c>
      <c r="J226" s="302" t="str">
        <f t="shared" si="168"/>
        <v/>
      </c>
      <c r="K226" s="302" t="str">
        <f t="shared" si="168"/>
        <v/>
      </c>
      <c r="L226" s="302" t="str">
        <f>IF($H226="Monthly",$E226/12,IF($H226="Quarterly (From April)",$E226/4,IF($H226="Termly",0,IF($H226="Monthly (excl. August)",$E226/11,""))))</f>
        <v/>
      </c>
      <c r="M226" s="302" t="str">
        <f>IF($H226="Monthly",$E226/12,IF($H226="Quarterly (From April)",0,IF($H226="Termly",0,IF($H226="Monthly (excl. August)",0,""))))</f>
        <v/>
      </c>
      <c r="N226" s="302" t="str">
        <f>IF($H226="Monthly",$E226/12,IF($H226="Quarterly (From April)",0,IF($H226="Termly",$E226/3,IF($H226="Monthly (excl. August)",$E226/11,""))))</f>
        <v/>
      </c>
      <c r="O226" s="302" t="str">
        <f>IF($H226="Monthly",$E226/12,IF($H226="Quarterly (From April)",$E226/4,IF($H226="Termly",0,IF($H226="Monthly (excl. August)",$E226/11,""))))</f>
        <v/>
      </c>
      <c r="P226" s="302">
        <v>832</v>
      </c>
      <c r="Q226" s="302" t="str">
        <f t="shared" si="169"/>
        <v/>
      </c>
      <c r="R226" s="302">
        <v>832</v>
      </c>
      <c r="S226" s="302" t="str">
        <f t="shared" si="170"/>
        <v/>
      </c>
      <c r="T226" s="302">
        <v>833</v>
      </c>
      <c r="U226" s="303">
        <f>E226</f>
        <v>2497</v>
      </c>
      <c r="V226" s="214">
        <f>IF(ROUND(SUM(I226:T226),0)&gt;U226,1,IF(ROUND(SUM(I226:T226),0)&lt;U226,1,0))</f>
        <v>0</v>
      </c>
      <c r="W226" s="322">
        <f t="shared" si="145"/>
        <v>0</v>
      </c>
    </row>
    <row r="227" spans="1:23" ht="13.5" thickBot="1" x14ac:dyDescent="0.25">
      <c r="A227" s="1100"/>
      <c r="B227" s="158">
        <v>1304</v>
      </c>
      <c r="C227" s="109" t="s">
        <v>494</v>
      </c>
      <c r="D227" s="100"/>
      <c r="E227" s="256"/>
      <c r="F227" s="257">
        <f>SUM(E224:E227)</f>
        <v>7827</v>
      </c>
      <c r="H227" s="43" t="s">
        <v>267</v>
      </c>
      <c r="I227" s="302" t="str">
        <f>IF($H227="Monthly",$E227/12,IF($H227="Quarterly (From April)",$E227/4,IF($H227="Termly",$E227/3,IF($H227="Monthly (excl. August)",$E227/11,""))))</f>
        <v/>
      </c>
      <c r="J227" s="302" t="str">
        <f t="shared" si="168"/>
        <v/>
      </c>
      <c r="K227" s="302" t="str">
        <f t="shared" si="168"/>
        <v/>
      </c>
      <c r="L227" s="302" t="str">
        <f>IF($H227="Monthly",$E227/12,IF($H227="Quarterly (From April)",$E227/4,IF($H227="Termly",0,IF($H227="Monthly (excl. August)",$E227/11,""))))</f>
        <v/>
      </c>
      <c r="M227" s="302" t="str">
        <f>IF($H227="Monthly",$E227/12,IF($H227="Quarterly (From April)",0,IF($H227="Termly",0,IF($H227="Monthly (excl. August)",0,""))))</f>
        <v/>
      </c>
      <c r="N227" s="302" t="str">
        <f>IF($H227="Monthly",$E227/12,IF($H227="Quarterly (From April)",0,IF($H227="Termly",$E227/3,IF($H227="Monthly (excl. August)",$E227/11,""))))</f>
        <v/>
      </c>
      <c r="O227" s="302" t="str">
        <f>IF($H227="Monthly",$E227/12,IF($H227="Quarterly (From April)",$E227/4,IF($H227="Termly",0,IF($H227="Monthly (excl. August)",$E227/11,""))))</f>
        <v/>
      </c>
      <c r="P227" s="302" t="str">
        <f t="shared" si="169"/>
        <v/>
      </c>
      <c r="Q227" s="302" t="str">
        <f t="shared" si="169"/>
        <v/>
      </c>
      <c r="R227" s="302" t="str">
        <f>IF($H227="Monthly",$E227/12,IF($H227="Quarterly (From April)",$E227/4,IF($H227="Termly",$E227/3,IF($H227="Monthly (excl. August)",$E227/11,""))))</f>
        <v/>
      </c>
      <c r="S227" s="302" t="str">
        <f t="shared" si="170"/>
        <v/>
      </c>
      <c r="T227" s="302" t="str">
        <f t="shared" si="170"/>
        <v/>
      </c>
      <c r="U227" s="303">
        <f>E227</f>
        <v>0</v>
      </c>
      <c r="V227" s="214">
        <f>IF(ROUND(SUM(I227:T227),0)&gt;U227,1,IF(ROUND(SUM(I227:T227),0)&lt;U227,1,0))</f>
        <v>0</v>
      </c>
      <c r="W227" s="322">
        <f t="shared" si="145"/>
        <v>0</v>
      </c>
    </row>
    <row r="228" spans="1:23" ht="13.5" thickBot="1" x14ac:dyDescent="0.25">
      <c r="A228" s="8"/>
      <c r="B228" s="118"/>
      <c r="C228" s="106"/>
      <c r="D228" s="107"/>
      <c r="E228" s="267"/>
      <c r="F228" s="268"/>
      <c r="I228" s="306"/>
      <c r="J228" s="306"/>
      <c r="K228" s="306"/>
      <c r="L228" s="306"/>
      <c r="M228" s="306"/>
      <c r="N228" s="306"/>
      <c r="O228" s="306"/>
      <c r="P228" s="306"/>
      <c r="Q228" s="306"/>
      <c r="R228" s="306"/>
      <c r="S228" s="306"/>
      <c r="T228" s="306"/>
      <c r="U228" s="305"/>
      <c r="W228" s="322">
        <f t="shared" si="145"/>
        <v>0</v>
      </c>
    </row>
    <row r="229" spans="1:23" x14ac:dyDescent="0.2">
      <c r="A229" s="1098" t="s">
        <v>495</v>
      </c>
      <c r="B229" s="156">
        <v>1320</v>
      </c>
      <c r="C229" s="113" t="s">
        <v>496</v>
      </c>
      <c r="D229" s="93" t="s">
        <v>1048</v>
      </c>
      <c r="E229" s="246">
        <v>435</v>
      </c>
      <c r="F229" s="247"/>
      <c r="H229" s="43" t="s">
        <v>290</v>
      </c>
      <c r="I229" s="302">
        <f>IF($H229="Monthly",$E229/12,IF($H229="Quarterly (From April)",$E229/4,IF($H229="Termly",$E229/3,IF($H229="Monthly (excl. August)",$E229/11,""))))</f>
        <v>36.25</v>
      </c>
      <c r="J229" s="302">
        <f t="shared" ref="J229:K231" si="171">IF($H229="Monthly",$E229/12,IF($H229="Quarterly (From April)",0,IF($H229="Termly",0,IF($H229="Monthly (excl. August)",$E229/11,""))))</f>
        <v>36.25</v>
      </c>
      <c r="K229" s="302">
        <f t="shared" si="171"/>
        <v>36.25</v>
      </c>
      <c r="L229" s="302">
        <f>IF($H229="Monthly",$E229/12,IF($H229="Quarterly (From April)",$E229/4,IF($H229="Termly",0,IF($H229="Monthly (excl. August)",$E229/11,""))))</f>
        <v>36.25</v>
      </c>
      <c r="M229" s="302">
        <f>IF($H229="Monthly",$E229/12,IF($H229="Quarterly (From April)",0,IF($H229="Termly",0,IF($H229="Monthly (excl. August)",0,""))))</f>
        <v>36.25</v>
      </c>
      <c r="N229" s="302">
        <f>IF($H229="Monthly",$E229/12,IF($H229="Quarterly (From April)",0,IF($H229="Termly",$E229/3,IF($H229="Monthly (excl. August)",$E229/11,""))))</f>
        <v>36.25</v>
      </c>
      <c r="O229" s="302">
        <f>IF($H229="Monthly",$E229/12,IF($H229="Quarterly (From April)",$E229/4,IF($H229="Termly",0,IF($H229="Monthly (excl. August)",$E229/11,""))))</f>
        <v>36.25</v>
      </c>
      <c r="P229" s="302">
        <f t="shared" ref="P229:Q231" si="172">IF($H229="Monthly",$E229/12,IF($H229="Quarterly (From April)",0,IF($H229="Termly",0,IF($H229="Monthly (excl. August)",$E229/11,""))))</f>
        <v>36.25</v>
      </c>
      <c r="Q229" s="302">
        <f t="shared" si="172"/>
        <v>36.25</v>
      </c>
      <c r="R229" s="302">
        <f>IF($H229="Monthly",$E229/12,IF($H229="Quarterly (From April)",$E229/4,IF($H229="Termly",$E229/3,IF($H229="Monthly (excl. August)",$E229/11,""))))</f>
        <v>36.25</v>
      </c>
      <c r="S229" s="302">
        <f t="shared" ref="S229:T231" si="173">IF($H229="Monthly",$E229/12,IF($H229="Quarterly (From April)",0,IF($H229="Termly",0,IF($H229="Monthly (excl. August)",$E229/11,""))))</f>
        <v>36.25</v>
      </c>
      <c r="T229" s="302">
        <f t="shared" si="173"/>
        <v>36.25</v>
      </c>
      <c r="U229" s="303">
        <f>E229</f>
        <v>435</v>
      </c>
      <c r="V229" s="214">
        <f>IF(ROUND(SUM(I229:T229),0)&gt;U229,1,IF(ROUND(SUM(I229:T229),0)&lt;U229,1,0))</f>
        <v>0</v>
      </c>
      <c r="W229" s="322">
        <f t="shared" si="145"/>
        <v>0</v>
      </c>
    </row>
    <row r="230" spans="1:23" x14ac:dyDescent="0.2">
      <c r="A230" s="1099"/>
      <c r="B230" s="157">
        <v>1321</v>
      </c>
      <c r="C230" s="108" t="s">
        <v>700</v>
      </c>
      <c r="D230" s="95" t="s">
        <v>1047</v>
      </c>
      <c r="E230" s="250">
        <v>348</v>
      </c>
      <c r="F230" s="251"/>
      <c r="H230" s="43" t="s">
        <v>292</v>
      </c>
      <c r="I230" s="302">
        <f>IF($H230="Monthly",$E230/12,IF($H230="Quarterly (From April)",$E230/4,IF($H230="Termly",$E230/3,IF($H230="Monthly (excl. August)",$E230/11,""))))</f>
        <v>87</v>
      </c>
      <c r="J230" s="302">
        <f t="shared" si="171"/>
        <v>0</v>
      </c>
      <c r="K230" s="302">
        <f t="shared" si="171"/>
        <v>0</v>
      </c>
      <c r="L230" s="302">
        <f>IF($H230="Monthly",$E230/12,IF($H230="Quarterly (From April)",$E230/4,IF($H230="Termly",0,IF($H230="Monthly (excl. August)",$E230/11,""))))</f>
        <v>87</v>
      </c>
      <c r="M230" s="302">
        <f>IF($H230="Monthly",$E230/12,IF($H230="Quarterly (From April)",0,IF($H230="Termly",0,IF($H230="Monthly (excl. August)",0,""))))</f>
        <v>0</v>
      </c>
      <c r="N230" s="302">
        <f>IF($H230="Monthly",$E230/12,IF($H230="Quarterly (From April)",0,IF($H230="Termly",$E230/3,IF($H230="Monthly (excl. August)",$E230/11,""))))</f>
        <v>0</v>
      </c>
      <c r="O230" s="302">
        <f>IF($H230="Monthly",$E230/12,IF($H230="Quarterly (From April)",$E230/4,IF($H230="Termly",0,IF($H230="Monthly (excl. August)",$E230/11,""))))</f>
        <v>87</v>
      </c>
      <c r="P230" s="302">
        <f t="shared" si="172"/>
        <v>0</v>
      </c>
      <c r="Q230" s="302">
        <f t="shared" si="172"/>
        <v>0</v>
      </c>
      <c r="R230" s="302">
        <f>IF($H230="Monthly",$E230/12,IF($H230="Quarterly (From April)",$E230/4,IF($H230="Termly",$E230/3,IF($H230="Monthly (excl. August)",$E230/11,""))))</f>
        <v>87</v>
      </c>
      <c r="S230" s="302">
        <f t="shared" si="173"/>
        <v>0</v>
      </c>
      <c r="T230" s="302">
        <f t="shared" si="173"/>
        <v>0</v>
      </c>
      <c r="U230" s="303">
        <f>E230</f>
        <v>348</v>
      </c>
      <c r="V230" s="214">
        <f>IF(ROUND(SUM(I230:T230),0)&gt;U230,1,IF(ROUND(SUM(I230:T230),0)&lt;U230,1,0))</f>
        <v>0</v>
      </c>
      <c r="W230" s="322">
        <f t="shared" si="145"/>
        <v>0</v>
      </c>
    </row>
    <row r="231" spans="1:23" ht="13.5" thickBot="1" x14ac:dyDescent="0.25">
      <c r="A231" s="1100"/>
      <c r="B231" s="158">
        <v>1322</v>
      </c>
      <c r="C231" s="109" t="s">
        <v>701</v>
      </c>
      <c r="D231" s="100"/>
      <c r="E231" s="256"/>
      <c r="F231" s="257">
        <f>SUM(E229:E231)</f>
        <v>783</v>
      </c>
      <c r="H231" s="43" t="s">
        <v>267</v>
      </c>
      <c r="I231" s="302" t="str">
        <f>IF($H231="Monthly",$E231/12,IF($H231="Quarterly (From April)",$E231/4,IF($H231="Termly",$E231/3,IF($H231="Monthly (excl. August)",$E231/11,""))))</f>
        <v/>
      </c>
      <c r="J231" s="302" t="str">
        <f t="shared" si="171"/>
        <v/>
      </c>
      <c r="K231" s="302" t="str">
        <f t="shared" si="171"/>
        <v/>
      </c>
      <c r="L231" s="302" t="str">
        <f>IF($H231="Monthly",$E231/12,IF($H231="Quarterly (From April)",$E231/4,IF($H231="Termly",0,IF($H231="Monthly (excl. August)",$E231/11,""))))</f>
        <v/>
      </c>
      <c r="M231" s="302" t="str">
        <f>IF($H231="Monthly",$E231/12,IF($H231="Quarterly (From April)",0,IF($H231="Termly",0,IF($H231="Monthly (excl. August)",0,""))))</f>
        <v/>
      </c>
      <c r="N231" s="302" t="str">
        <f>IF($H231="Monthly",$E231/12,IF($H231="Quarterly (From April)",0,IF($H231="Termly",$E231/3,IF($H231="Monthly (excl. August)",$E231/11,""))))</f>
        <v/>
      </c>
      <c r="O231" s="302" t="str">
        <f>IF($H231="Monthly",$E231/12,IF($H231="Quarterly (From April)",$E231/4,IF($H231="Termly",0,IF($H231="Monthly (excl. August)",$E231/11,""))))</f>
        <v/>
      </c>
      <c r="P231" s="302" t="str">
        <f t="shared" si="172"/>
        <v/>
      </c>
      <c r="Q231" s="302" t="str">
        <f t="shared" si="172"/>
        <v/>
      </c>
      <c r="R231" s="302" t="str">
        <f>IF($H231="Monthly",$E231/12,IF($H231="Quarterly (From April)",$E231/4,IF($H231="Termly",$E231/3,IF($H231="Monthly (excl. August)",$E231/11,""))))</f>
        <v/>
      </c>
      <c r="S231" s="302" t="str">
        <f t="shared" si="173"/>
        <v/>
      </c>
      <c r="T231" s="302" t="str">
        <f t="shared" si="173"/>
        <v/>
      </c>
      <c r="U231" s="303">
        <f>E231</f>
        <v>0</v>
      </c>
      <c r="V231" s="214">
        <f>IF(ROUND(SUM(I231:T231),0)&gt;U231,1,IF(ROUND(SUM(I231:T231),0)&lt;U231,1,0))</f>
        <v>0</v>
      </c>
      <c r="W231" s="322">
        <f t="shared" si="145"/>
        <v>0</v>
      </c>
    </row>
    <row r="232" spans="1:23" ht="13.5" thickBot="1" x14ac:dyDescent="0.25">
      <c r="A232" s="8"/>
      <c r="B232" s="118"/>
      <c r="C232" s="106"/>
      <c r="D232" s="107"/>
      <c r="E232" s="267"/>
      <c r="F232" s="268"/>
      <c r="I232" s="306"/>
      <c r="J232" s="306"/>
      <c r="K232" s="306"/>
      <c r="L232" s="306"/>
      <c r="M232" s="306"/>
      <c r="N232" s="306"/>
      <c r="O232" s="306"/>
      <c r="P232" s="306"/>
      <c r="Q232" s="306"/>
      <c r="R232" s="306"/>
      <c r="S232" s="306"/>
      <c r="T232" s="306"/>
      <c r="U232" s="305"/>
      <c r="W232" s="322">
        <f t="shared" si="145"/>
        <v>0</v>
      </c>
    </row>
    <row r="233" spans="1:23" x14ac:dyDescent="0.2">
      <c r="A233" s="1098" t="s">
        <v>497</v>
      </c>
      <c r="B233" s="156">
        <v>1401</v>
      </c>
      <c r="C233" s="113" t="s">
        <v>591</v>
      </c>
      <c r="D233" s="93"/>
      <c r="E233" s="246"/>
      <c r="F233" s="247"/>
      <c r="H233" s="43" t="s">
        <v>267</v>
      </c>
      <c r="I233" s="302" t="str">
        <f>IF($H233="Monthly",$E233/12,IF($H233="Quarterly (From April)",$E233/4,IF($H233="Termly",$E233/3,IF($H233="Monthly (excl. August)",$E233/11,""))))</f>
        <v/>
      </c>
      <c r="J233" s="302" t="str">
        <f>IF($H233="Monthly",$E233/12,IF($H233="Quarterly (From April)",0,IF($H233="Termly",0,IF($H233="Monthly (excl. August)",$E233/11,""))))</f>
        <v/>
      </c>
      <c r="K233" s="302" t="str">
        <f>IF($H233="Monthly",$E233/12,IF($H233="Quarterly (From April)",0,IF($H233="Termly",0,IF($H233="Monthly (excl. August)",$E233/11,""))))</f>
        <v/>
      </c>
      <c r="L233" s="302" t="str">
        <f>IF($H233="Monthly",$E233/12,IF($H233="Quarterly (From April)",$E233/4,IF($H233="Termly",0,IF($H233="Monthly (excl. August)",$E233/11,""))))</f>
        <v/>
      </c>
      <c r="M233" s="302" t="str">
        <f>IF($H233="Monthly",$E233/12,IF($H233="Quarterly (From April)",0,IF($H233="Termly",0,IF($H233="Monthly (excl. August)",0,""))))</f>
        <v/>
      </c>
      <c r="N233" s="302" t="str">
        <f>IF($H233="Monthly",$E233/12,IF($H233="Quarterly (From April)",0,IF($H233="Termly",$E233/3,IF($H233="Monthly (excl. August)",$E233/11,""))))</f>
        <v/>
      </c>
      <c r="O233" s="302" t="str">
        <f>IF($H233="Monthly",$E233/12,IF($H233="Quarterly (From April)",$E233/4,IF($H233="Termly",0,IF($H233="Monthly (excl. August)",$E233/11,""))))</f>
        <v/>
      </c>
      <c r="P233" s="302" t="str">
        <f>IF($H233="Monthly",$E233/12,IF($H233="Quarterly (From April)",0,IF($H233="Termly",0,IF($H233="Monthly (excl. August)",$E233/11,""))))</f>
        <v/>
      </c>
      <c r="Q233" s="302" t="str">
        <f>IF($H233="Monthly",$E233/12,IF($H233="Quarterly (From April)",0,IF($H233="Termly",0,IF($H233="Monthly (excl. August)",$E233/11,""))))</f>
        <v/>
      </c>
      <c r="R233" s="302" t="str">
        <f>IF($H233="Monthly",$E233/12,IF($H233="Quarterly (From April)",$E233/4,IF($H233="Termly",$E233/3,IF($H233="Monthly (excl. August)",$E233/11,""))))</f>
        <v/>
      </c>
      <c r="S233" s="302" t="str">
        <f>IF($H233="Monthly",$E233/12,IF($H233="Quarterly (From April)",0,IF($H233="Termly",0,IF($H233="Monthly (excl. August)",$E233/11,""))))</f>
        <v/>
      </c>
      <c r="T233" s="302" t="str">
        <f>IF($H233="Monthly",$E233/12,IF($H233="Quarterly (From April)",0,IF($H233="Termly",0,IF($H233="Monthly (excl. August)",$E233/11,""))))</f>
        <v/>
      </c>
      <c r="U233" s="303">
        <f>E233</f>
        <v>0</v>
      </c>
      <c r="V233" s="214">
        <f>IF(ROUND(SUM(I233:T233),0)&gt;U233,1,IF(ROUND(SUM(I233:T233),0)&lt;U233,1,0))</f>
        <v>0</v>
      </c>
      <c r="W233" s="322">
        <f t="shared" si="145"/>
        <v>0</v>
      </c>
    </row>
    <row r="234" spans="1:23" ht="13.5" thickBot="1" x14ac:dyDescent="0.25">
      <c r="A234" s="1109"/>
      <c r="B234" s="158">
        <v>1408</v>
      </c>
      <c r="C234" s="109" t="s">
        <v>498</v>
      </c>
      <c r="D234" s="100"/>
      <c r="E234" s="256"/>
      <c r="F234" s="257">
        <f>SUM(E233:E234)</f>
        <v>0</v>
      </c>
      <c r="H234" s="43" t="s">
        <v>267</v>
      </c>
      <c r="I234" s="302" t="str">
        <f>IF($H234="Monthly",$E234/12,IF($H234="Quarterly (From April)",$E234/4,IF($H234="Termly",$E234/3,IF($H234="Monthly (excl. August)",$E234/11,""))))</f>
        <v/>
      </c>
      <c r="J234" s="302" t="str">
        <f>IF($H234="Monthly",$E234/12,IF($H234="Quarterly (From April)",0,IF($H234="Termly",0,IF($H234="Monthly (excl. August)",$E234/11,""))))</f>
        <v/>
      </c>
      <c r="K234" s="302" t="str">
        <f>IF($H234="Monthly",$E234/12,IF($H234="Quarterly (From April)",0,IF($H234="Termly",0,IF($H234="Monthly (excl. August)",$E234/11,""))))</f>
        <v/>
      </c>
      <c r="L234" s="302" t="str">
        <f>IF($H234="Monthly",$E234/12,IF($H234="Quarterly (From April)",$E234/4,IF($H234="Termly",0,IF($H234="Monthly (excl. August)",$E234/11,""))))</f>
        <v/>
      </c>
      <c r="M234" s="302" t="str">
        <f>IF($H234="Monthly",$E234/12,IF($H234="Quarterly (From April)",0,IF($H234="Termly",0,IF($H234="Monthly (excl. August)",0,""))))</f>
        <v/>
      </c>
      <c r="N234" s="302" t="str">
        <f>IF($H234="Monthly",$E234/12,IF($H234="Quarterly (From April)",0,IF($H234="Termly",$E234/3,IF($H234="Monthly (excl. August)",$E234/11,""))))</f>
        <v/>
      </c>
      <c r="O234" s="302" t="str">
        <f>IF($H234="Monthly",$E234/12,IF($H234="Quarterly (From April)",$E234/4,IF($H234="Termly",0,IF($H234="Monthly (excl. August)",$E234/11,""))))</f>
        <v/>
      </c>
      <c r="P234" s="302" t="str">
        <f>IF($H234="Monthly",$E234/12,IF($H234="Quarterly (From April)",0,IF($H234="Termly",0,IF($H234="Monthly (excl. August)",$E234/11,""))))</f>
        <v/>
      </c>
      <c r="Q234" s="302" t="str">
        <f>IF($H234="Monthly",$E234/12,IF($H234="Quarterly (From April)",0,IF($H234="Termly",0,IF($H234="Monthly (excl. August)",$E234/11,""))))</f>
        <v/>
      </c>
      <c r="R234" s="302" t="str">
        <f>IF($H234="Monthly",$E234/12,IF($H234="Quarterly (From April)",$E234/4,IF($H234="Termly",$E234/3,IF($H234="Monthly (excl. August)",$E234/11,""))))</f>
        <v/>
      </c>
      <c r="S234" s="302" t="str">
        <f>IF($H234="Monthly",$E234/12,IF($H234="Quarterly (From April)",0,IF($H234="Termly",0,IF($H234="Monthly (excl. August)",$E234/11,""))))</f>
        <v/>
      </c>
      <c r="T234" s="302" t="str">
        <f>IF($H234="Monthly",$E234/12,IF($H234="Quarterly (From April)",0,IF($H234="Termly",0,IF($H234="Monthly (excl. August)",$E234/11,""))))</f>
        <v/>
      </c>
      <c r="U234" s="303">
        <f>E234</f>
        <v>0</v>
      </c>
      <c r="V234" s="214">
        <f>IF(ROUND(SUM(I234:T234),0)&gt;U234,1,IF(ROUND(SUM(I234:T234),0)&lt;U234,1,0))</f>
        <v>0</v>
      </c>
      <c r="W234" s="322">
        <f t="shared" si="145"/>
        <v>0</v>
      </c>
    </row>
    <row r="235" spans="1:23" ht="13.5" thickBot="1" x14ac:dyDescent="0.25">
      <c r="A235" s="12"/>
      <c r="B235" s="118"/>
      <c r="C235" s="106"/>
      <c r="D235" s="107"/>
      <c r="E235" s="267"/>
      <c r="F235" s="268"/>
      <c r="I235" s="306"/>
      <c r="J235" s="306"/>
      <c r="K235" s="306"/>
      <c r="L235" s="306"/>
      <c r="M235" s="306"/>
      <c r="N235" s="306"/>
      <c r="O235" s="306"/>
      <c r="P235" s="306"/>
      <c r="Q235" s="306"/>
      <c r="R235" s="306"/>
      <c r="S235" s="306"/>
      <c r="T235" s="306"/>
      <c r="U235" s="305"/>
      <c r="W235" s="322">
        <f t="shared" si="145"/>
        <v>0</v>
      </c>
    </row>
    <row r="236" spans="1:23" x14ac:dyDescent="0.2">
      <c r="A236" s="1098" t="s">
        <v>499</v>
      </c>
      <c r="B236" s="156">
        <v>1501</v>
      </c>
      <c r="C236" s="113" t="s">
        <v>500</v>
      </c>
      <c r="D236" s="93"/>
      <c r="E236" s="246"/>
      <c r="F236" s="247"/>
      <c r="H236" s="43" t="s">
        <v>267</v>
      </c>
      <c r="I236" s="302" t="str">
        <f>IF($H236="Monthly",$E236/12,IF($H236="Quarterly (From April)",$E236/4,IF($H236="Termly",$E236/3,IF($H236="Monthly (excl. August)",$E236/11,""))))</f>
        <v/>
      </c>
      <c r="J236" s="302" t="str">
        <f>IF($H236="Monthly",$E236/12,IF($H236="Quarterly (From April)",0,IF($H236="Termly",0,IF($H236="Monthly (excl. August)",$E236/11,""))))</f>
        <v/>
      </c>
      <c r="K236" s="302" t="str">
        <f>IF($H236="Monthly",$E236/12,IF($H236="Quarterly (From April)",0,IF($H236="Termly",0,IF($H236="Monthly (excl. August)",$E236/11,""))))</f>
        <v/>
      </c>
      <c r="L236" s="302" t="str">
        <f>IF($H236="Monthly",$E236/12,IF($H236="Quarterly (From April)",$E236/4,IF($H236="Termly",0,IF($H236="Monthly (excl. August)",$E236/11,""))))</f>
        <v/>
      </c>
      <c r="M236" s="302" t="str">
        <f>IF($H236="Monthly",$E236/12,IF($H236="Quarterly (From April)",0,IF($H236="Termly",0,IF($H236="Monthly (excl. August)",0,""))))</f>
        <v/>
      </c>
      <c r="N236" s="302" t="str">
        <f>IF($H236="Monthly",$E236/12,IF($H236="Quarterly (From April)",0,IF($H236="Termly",$E236/3,IF($H236="Monthly (excl. August)",$E236/11,""))))</f>
        <v/>
      </c>
      <c r="O236" s="302" t="str">
        <f>IF($H236="Monthly",$E236/12,IF($H236="Quarterly (From April)",$E236/4,IF($H236="Termly",0,IF($H236="Monthly (excl. August)",$E236/11,""))))</f>
        <v/>
      </c>
      <c r="P236" s="302" t="str">
        <f>IF($H236="Monthly",$E236/12,IF($H236="Quarterly (From April)",0,IF($H236="Termly",0,IF($H236="Monthly (excl. August)",$E236/11,""))))</f>
        <v/>
      </c>
      <c r="Q236" s="302" t="str">
        <f>IF($H236="Monthly",$E236/12,IF($H236="Quarterly (From April)",0,IF($H236="Termly",0,IF($H236="Monthly (excl. August)",$E236/11,""))))</f>
        <v/>
      </c>
      <c r="R236" s="302" t="str">
        <f>IF($H236="Monthly",$E236/12,IF($H236="Quarterly (From April)",$E236/4,IF($H236="Termly",$E236/3,IF($H236="Monthly (excl. August)",$E236/11,""))))</f>
        <v/>
      </c>
      <c r="S236" s="302" t="str">
        <f>IF($H236="Monthly",$E236/12,IF($H236="Quarterly (From April)",0,IF($H236="Termly",0,IF($H236="Monthly (excl. August)",$E236/11,""))))</f>
        <v/>
      </c>
      <c r="T236" s="302" t="str">
        <f>IF($H236="Monthly",$E236/12,IF($H236="Quarterly (From April)",0,IF($H236="Termly",0,IF($H236="Monthly (excl. August)",$E236/11,""))))</f>
        <v/>
      </c>
      <c r="U236" s="303">
        <f>E236</f>
        <v>0</v>
      </c>
      <c r="V236" s="214">
        <f>IF(ROUND(SUM(I236:T236),0)&gt;U236,1,IF(ROUND(SUM(I236:T236),0)&lt;U236,1,0))</f>
        <v>0</v>
      </c>
      <c r="W236" s="322">
        <f t="shared" si="145"/>
        <v>0</v>
      </c>
    </row>
    <row r="237" spans="1:23" ht="13.5" thickBot="1" x14ac:dyDescent="0.25">
      <c r="A237" s="1109"/>
      <c r="B237" s="158">
        <v>1510</v>
      </c>
      <c r="C237" s="109" t="s">
        <v>501</v>
      </c>
      <c r="D237" s="1010" t="s">
        <v>1075</v>
      </c>
      <c r="E237" s="256">
        <v>9980</v>
      </c>
      <c r="F237" s="257">
        <f>SUM(E236:E237)</f>
        <v>9980</v>
      </c>
      <c r="H237" s="43" t="s">
        <v>290</v>
      </c>
      <c r="I237" s="302">
        <f>IF($H237="Monthly",$E237/12,IF($H237="Quarterly (From April)",$E237/4,IF($H237="Termly",$E237/3,IF($H237="Monthly (excl. August)",$E237/11,""))))</f>
        <v>831.66666666666663</v>
      </c>
      <c r="J237" s="302">
        <f>IF($H237="Monthly",$E237/12,IF($H237="Quarterly (From April)",0,IF($H237="Termly",0,IF($H237="Monthly (excl. August)",$E237/11,""))))</f>
        <v>831.66666666666663</v>
      </c>
      <c r="K237" s="302">
        <f>IF($H237="Monthly",$E237/12,IF($H237="Quarterly (From April)",0,IF($H237="Termly",0,IF($H237="Monthly (excl. August)",$E237/11,""))))</f>
        <v>831.66666666666663</v>
      </c>
      <c r="L237" s="302">
        <f>IF($H237="Monthly",$E237/12,IF($H237="Quarterly (From April)",$E237/4,IF($H237="Termly",0,IF($H237="Monthly (excl. August)",$E237/11,""))))</f>
        <v>831.66666666666663</v>
      </c>
      <c r="M237" s="302">
        <f>IF($H237="Monthly",$E237/12,IF($H237="Quarterly (From April)",0,IF($H237="Termly",0,IF($H237="Monthly (excl. August)",0,""))))</f>
        <v>831.66666666666663</v>
      </c>
      <c r="N237" s="302">
        <f>IF($H237="Monthly",$E237/12,IF($H237="Quarterly (From April)",0,IF($H237="Termly",$E237/3,IF($H237="Monthly (excl. August)",$E237/11,""))))</f>
        <v>831.66666666666663</v>
      </c>
      <c r="O237" s="302">
        <f>IF($H237="Monthly",$E237/12,IF($H237="Quarterly (From April)",$E237/4,IF($H237="Termly",0,IF($H237="Monthly (excl. August)",$E237/11,""))))</f>
        <v>831.66666666666663</v>
      </c>
      <c r="P237" s="302">
        <f>IF($H237="Monthly",$E237/12,IF($H237="Quarterly (From April)",0,IF($H237="Termly",0,IF($H237="Monthly (excl. August)",$E237/11,""))))</f>
        <v>831.66666666666663</v>
      </c>
      <c r="Q237" s="302">
        <f>IF($H237="Monthly",$E237/12,IF($H237="Quarterly (From April)",0,IF($H237="Termly",0,IF($H237="Monthly (excl. August)",$E237/11,""))))</f>
        <v>831.66666666666663</v>
      </c>
      <c r="R237" s="302">
        <f>IF($H237="Monthly",$E237/12,IF($H237="Quarterly (From April)",$E237/4,IF($H237="Termly",$E237/3,IF($H237="Monthly (excl. August)",$E237/11,""))))</f>
        <v>831.66666666666663</v>
      </c>
      <c r="S237" s="302">
        <f>IF($H237="Monthly",$E237/12,IF($H237="Quarterly (From April)",0,IF($H237="Termly",0,IF($H237="Monthly (excl. August)",$E237/11,""))))</f>
        <v>831.66666666666663</v>
      </c>
      <c r="T237" s="302">
        <f>IF($H237="Monthly",$E237/12,IF($H237="Quarterly (From April)",0,IF($H237="Termly",0,IF($H237="Monthly (excl. August)",$E237/11,""))))</f>
        <v>831.66666666666663</v>
      </c>
      <c r="U237" s="303">
        <f>E237</f>
        <v>9980</v>
      </c>
      <c r="V237" s="214">
        <f>IF(ROUND(SUM(I237:T237),0)&gt;U237,1,IF(ROUND(SUM(I237:T237),0)&lt;U237,1,0))</f>
        <v>0</v>
      </c>
      <c r="W237" s="322">
        <f t="shared" si="145"/>
        <v>0</v>
      </c>
    </row>
    <row r="238" spans="1:23" ht="13.5" thickBot="1" x14ac:dyDescent="0.25">
      <c r="A238" s="13"/>
      <c r="B238" s="118"/>
      <c r="C238" s="106"/>
      <c r="D238" s="107"/>
      <c r="E238" s="267"/>
      <c r="F238" s="268"/>
      <c r="I238" s="306"/>
      <c r="J238" s="306"/>
      <c r="K238" s="306"/>
      <c r="L238" s="306"/>
      <c r="M238" s="306"/>
      <c r="N238" s="306"/>
      <c r="O238" s="306"/>
      <c r="P238" s="306"/>
      <c r="Q238" s="306"/>
      <c r="R238" s="306"/>
      <c r="S238" s="306"/>
      <c r="T238" s="306"/>
      <c r="U238" s="305"/>
      <c r="W238" s="322">
        <f t="shared" si="145"/>
        <v>0</v>
      </c>
    </row>
    <row r="239" spans="1:23" ht="12.75" customHeight="1" x14ac:dyDescent="0.2">
      <c r="A239" s="1092" t="s">
        <v>1001</v>
      </c>
      <c r="B239" s="170"/>
      <c r="C239" s="113"/>
      <c r="D239" s="93"/>
      <c r="E239" s="246"/>
      <c r="F239" s="247"/>
      <c r="H239" s="43" t="s">
        <v>267</v>
      </c>
      <c r="I239" s="302" t="str">
        <f>IF($H239="Monthly",$E239/12,IF($H239="Quarterly (From April)",$E239/4,IF($H239="Termly",$E239/3,IF($H239="Monthly (excl. August)",$E239/11,""))))</f>
        <v/>
      </c>
      <c r="J239" s="302" t="str">
        <f t="shared" ref="J239:K242" si="174">IF($H239="Monthly",$E239/12,IF($H239="Quarterly (From April)",0,IF($H239="Termly",0,IF($H239="Monthly (excl. August)",$E239/11,""))))</f>
        <v/>
      </c>
      <c r="K239" s="302" t="str">
        <f t="shared" si="174"/>
        <v/>
      </c>
      <c r="L239" s="302" t="str">
        <f>IF($H239="Monthly",$E239/12,IF($H239="Quarterly (From April)",$E239/4,IF($H239="Termly",0,IF($H239="Monthly (excl. August)",$E239/11,""))))</f>
        <v/>
      </c>
      <c r="M239" s="302" t="str">
        <f>IF($H239="Monthly",$E239/12,IF($H239="Quarterly (From April)",0,IF($H239="Termly",0,IF($H239="Monthly (excl. August)",0,""))))</f>
        <v/>
      </c>
      <c r="N239" s="302" t="str">
        <f>IF($H239="Monthly",$E239/12,IF($H239="Quarterly (From April)",0,IF($H239="Termly",$E239/3,IF($H239="Monthly (excl. August)",$E239/11,""))))</f>
        <v/>
      </c>
      <c r="O239" s="302" t="str">
        <f>IF($H239="Monthly",$E239/12,IF($H239="Quarterly (From April)",$E239/4,IF($H239="Termly",0,IF($H239="Monthly (excl. August)",$E239/11,""))))</f>
        <v/>
      </c>
      <c r="P239" s="302" t="str">
        <f t="shared" ref="P239:Q242" si="175">IF($H239="Monthly",$E239/12,IF($H239="Quarterly (From April)",0,IF($H239="Termly",0,IF($H239="Monthly (excl. August)",$E239/11,""))))</f>
        <v/>
      </c>
      <c r="Q239" s="302" t="str">
        <f t="shared" si="175"/>
        <v/>
      </c>
      <c r="R239" s="302" t="str">
        <f>IF($H239="Monthly",$E239/12,IF($H239="Quarterly (From April)",$E239/4,IF($H239="Termly",$E239/3,IF($H239="Monthly (excl. August)",$E239/11,""))))</f>
        <v/>
      </c>
      <c r="S239" s="302" t="str">
        <f t="shared" ref="S239:T242" si="176">IF($H239="Monthly",$E239/12,IF($H239="Quarterly (From April)",0,IF($H239="Termly",0,IF($H239="Monthly (excl. August)",$E239/11,""))))</f>
        <v/>
      </c>
      <c r="T239" s="302" t="str">
        <f t="shared" si="176"/>
        <v/>
      </c>
      <c r="U239" s="303">
        <f>E239</f>
        <v>0</v>
      </c>
      <c r="V239" s="214">
        <f>IF(ROUND(SUM(I239:T239),0)&gt;U239,1,IF(ROUND(SUM(I239:T239),0)&lt;U239,1,0))</f>
        <v>0</v>
      </c>
      <c r="W239" s="322">
        <f t="shared" si="145"/>
        <v>0</v>
      </c>
    </row>
    <row r="240" spans="1:23" x14ac:dyDescent="0.2">
      <c r="A240" s="1093"/>
      <c r="B240" s="160"/>
      <c r="C240" s="108"/>
      <c r="D240" s="95"/>
      <c r="E240" s="250"/>
      <c r="F240" s="251"/>
      <c r="H240" s="43" t="s">
        <v>267</v>
      </c>
      <c r="I240" s="302" t="str">
        <f>IF($H240="Monthly",$E240/12,IF($H240="Quarterly (From April)",$E240/4,IF($H240="Termly",$E240/3,IF($H240="Monthly (excl. August)",$E240/11,""))))</f>
        <v/>
      </c>
      <c r="J240" s="302" t="str">
        <f t="shared" si="174"/>
        <v/>
      </c>
      <c r="K240" s="302" t="str">
        <f t="shared" si="174"/>
        <v/>
      </c>
      <c r="L240" s="302" t="str">
        <f>IF($H240="Monthly",$E240/12,IF($H240="Quarterly (From April)",$E240/4,IF($H240="Termly",0,IF($H240="Monthly (excl. August)",$E240/11,""))))</f>
        <v/>
      </c>
      <c r="M240" s="302" t="str">
        <f>IF($H240="Monthly",$E240/12,IF($H240="Quarterly (From April)",0,IF($H240="Termly",0,IF($H240="Monthly (excl. August)",0,""))))</f>
        <v/>
      </c>
      <c r="N240" s="302" t="str">
        <f>IF($H240="Monthly",$E240/12,IF($H240="Quarterly (From April)",0,IF($H240="Termly",$E240/3,IF($H240="Monthly (excl. August)",$E240/11,""))))</f>
        <v/>
      </c>
      <c r="O240" s="302" t="str">
        <f>IF($H240="Monthly",$E240/12,IF($H240="Quarterly (From April)",$E240/4,IF($H240="Termly",0,IF($H240="Monthly (excl. August)",$E240/11,""))))</f>
        <v/>
      </c>
      <c r="P240" s="302" t="str">
        <f t="shared" si="175"/>
        <v/>
      </c>
      <c r="Q240" s="302" t="str">
        <f t="shared" si="175"/>
        <v/>
      </c>
      <c r="R240" s="302" t="str">
        <f>IF($H240="Monthly",$E240/12,IF($H240="Quarterly (From April)",$E240/4,IF($H240="Termly",$E240/3,IF($H240="Monthly (excl. August)",$E240/11,""))))</f>
        <v/>
      </c>
      <c r="S240" s="302" t="str">
        <f t="shared" si="176"/>
        <v/>
      </c>
      <c r="T240" s="302" t="str">
        <f t="shared" si="176"/>
        <v/>
      </c>
      <c r="U240" s="303">
        <f>E240</f>
        <v>0</v>
      </c>
      <c r="V240" s="214">
        <f>IF(ROUND(SUM(I240:T240),0)&gt;U240,1,IF(ROUND(SUM(I240:T240),0)&lt;U240,1,0))</f>
        <v>0</v>
      </c>
      <c r="W240" s="322">
        <f t="shared" si="145"/>
        <v>0</v>
      </c>
    </row>
    <row r="241" spans="1:23" x14ac:dyDescent="0.2">
      <c r="A241" s="1093"/>
      <c r="B241" s="160"/>
      <c r="C241" s="108"/>
      <c r="D241" s="95"/>
      <c r="E241" s="250"/>
      <c r="F241" s="251"/>
      <c r="H241" s="43" t="s">
        <v>267</v>
      </c>
      <c r="I241" s="302" t="str">
        <f>IF($H241="Monthly",$E241/12,IF($H241="Quarterly (From April)",$E241/4,IF($H241="Termly",$E241/3,IF($H241="Monthly (excl. August)",$E241/11,""))))</f>
        <v/>
      </c>
      <c r="J241" s="302" t="str">
        <f t="shared" si="174"/>
        <v/>
      </c>
      <c r="K241" s="302" t="str">
        <f t="shared" si="174"/>
        <v/>
      </c>
      <c r="L241" s="302" t="str">
        <f>IF($H241="Monthly",$E241/12,IF($H241="Quarterly (From April)",$E241/4,IF($H241="Termly",0,IF($H241="Monthly (excl. August)",$E241/11,""))))</f>
        <v/>
      </c>
      <c r="M241" s="302" t="str">
        <f>IF($H241="Monthly",$E241/12,IF($H241="Quarterly (From April)",0,IF($H241="Termly",0,IF($H241="Monthly (excl. August)",0,""))))</f>
        <v/>
      </c>
      <c r="N241" s="302" t="str">
        <f>IF($H241="Monthly",$E241/12,IF($H241="Quarterly (From April)",0,IF($H241="Termly",$E241/3,IF($H241="Monthly (excl. August)",$E241/11,""))))</f>
        <v/>
      </c>
      <c r="O241" s="302" t="str">
        <f>IF($H241="Monthly",$E241/12,IF($H241="Quarterly (From April)",$E241/4,IF($H241="Termly",0,IF($H241="Monthly (excl. August)",$E241/11,""))))</f>
        <v/>
      </c>
      <c r="P241" s="302" t="str">
        <f t="shared" si="175"/>
        <v/>
      </c>
      <c r="Q241" s="302" t="str">
        <f t="shared" si="175"/>
        <v/>
      </c>
      <c r="R241" s="302" t="str">
        <f>IF($H241="Monthly",$E241/12,IF($H241="Quarterly (From April)",$E241/4,IF($H241="Termly",$E241/3,IF($H241="Monthly (excl. August)",$E241/11,""))))</f>
        <v/>
      </c>
      <c r="S241" s="302" t="str">
        <f t="shared" si="176"/>
        <v/>
      </c>
      <c r="T241" s="302" t="str">
        <f t="shared" si="176"/>
        <v/>
      </c>
      <c r="U241" s="303">
        <f>E241</f>
        <v>0</v>
      </c>
      <c r="V241" s="214">
        <f>IF(ROUND(SUM(I241:T241),0)&gt;U241,1,IF(ROUND(SUM(I241:T241),0)&lt;U241,1,0))</f>
        <v>0</v>
      </c>
      <c r="W241" s="322">
        <f t="shared" si="145"/>
        <v>0</v>
      </c>
    </row>
    <row r="242" spans="1:23" ht="13.5" thickBot="1" x14ac:dyDescent="0.25">
      <c r="A242" s="1094"/>
      <c r="B242" s="161"/>
      <c r="C242" s="109"/>
      <c r="D242" s="100"/>
      <c r="E242" s="256"/>
      <c r="F242" s="257">
        <f>SUM(E239:E242)</f>
        <v>0</v>
      </c>
      <c r="H242" s="43" t="s">
        <v>267</v>
      </c>
      <c r="I242" s="302" t="str">
        <f>IF($H242="Monthly",$E242/12,IF($H242="Quarterly (From April)",$E242/4,IF($H242="Termly",$E242/3,IF($H242="Monthly (excl. August)",$E242/11,""))))</f>
        <v/>
      </c>
      <c r="J242" s="302" t="str">
        <f t="shared" si="174"/>
        <v/>
      </c>
      <c r="K242" s="302" t="str">
        <f t="shared" si="174"/>
        <v/>
      </c>
      <c r="L242" s="302" t="str">
        <f>IF($H242="Monthly",$E242/12,IF($H242="Quarterly (From April)",$E242/4,IF($H242="Termly",0,IF($H242="Monthly (excl. August)",$E242/11,""))))</f>
        <v/>
      </c>
      <c r="M242" s="302" t="str">
        <f>IF($H242="Monthly",$E242/12,IF($H242="Quarterly (From April)",0,IF($H242="Termly",0,IF($H242="Monthly (excl. August)",0,""))))</f>
        <v/>
      </c>
      <c r="N242" s="302" t="str">
        <f>IF($H242="Monthly",$E242/12,IF($H242="Quarterly (From April)",0,IF($H242="Termly",$E242/3,IF($H242="Monthly (excl. August)",$E242/11,""))))</f>
        <v/>
      </c>
      <c r="O242" s="302" t="str">
        <f>IF($H242="Monthly",$E242/12,IF($H242="Quarterly (From April)",$E242/4,IF($H242="Termly",0,IF($H242="Monthly (excl. August)",$E242/11,""))))</f>
        <v/>
      </c>
      <c r="P242" s="302" t="str">
        <f t="shared" si="175"/>
        <v/>
      </c>
      <c r="Q242" s="302" t="str">
        <f t="shared" si="175"/>
        <v/>
      </c>
      <c r="R242" s="302" t="str">
        <f>IF($H242="Monthly",$E242/12,IF($H242="Quarterly (From April)",$E242/4,IF($H242="Termly",$E242/3,IF($H242="Monthly (excl. August)",$E242/11,""))))</f>
        <v/>
      </c>
      <c r="S242" s="302" t="str">
        <f t="shared" si="176"/>
        <v/>
      </c>
      <c r="T242" s="302" t="str">
        <f t="shared" si="176"/>
        <v/>
      </c>
      <c r="U242" s="303">
        <f>E242</f>
        <v>0</v>
      </c>
      <c r="V242" s="214">
        <f>IF(ROUND(SUM(I242:T242),0)&gt;U242,1,IF(ROUND(SUM(I242:T242),0)&lt;U242,1,0))</f>
        <v>0</v>
      </c>
      <c r="W242" s="322">
        <f>ROUND(SUM(I242:T242)-U242,0)</f>
        <v>0</v>
      </c>
    </row>
    <row r="243" spans="1:23" ht="13.5" thickBot="1" x14ac:dyDescent="0.25">
      <c r="A243" s="45"/>
      <c r="B243" s="119"/>
      <c r="C243" s="111"/>
      <c r="D243" s="107"/>
      <c r="E243" s="267"/>
      <c r="F243" s="270"/>
      <c r="I243" s="306"/>
      <c r="J243" s="306"/>
      <c r="K243" s="306"/>
      <c r="L243" s="306"/>
      <c r="M243" s="306"/>
      <c r="N243" s="306"/>
      <c r="O243" s="306"/>
      <c r="P243" s="306"/>
      <c r="Q243" s="306"/>
      <c r="R243" s="306"/>
      <c r="S243" s="306"/>
      <c r="T243" s="306"/>
      <c r="U243" s="305"/>
      <c r="W243" s="322">
        <f t="shared" ref="W243:W305" si="177">ROUND(SUM(I243:T243)-U243,0)</f>
        <v>0</v>
      </c>
    </row>
    <row r="244" spans="1:23" ht="12.75" customHeight="1" x14ac:dyDescent="0.2">
      <c r="A244" s="1092" t="s">
        <v>1001</v>
      </c>
      <c r="B244" s="170"/>
      <c r="C244" s="113"/>
      <c r="D244" s="93"/>
      <c r="E244" s="246"/>
      <c r="F244" s="247"/>
      <c r="H244" s="43" t="s">
        <v>267</v>
      </c>
      <c r="I244" s="302" t="str">
        <f>IF($H244="Monthly",$E244/12,IF($H244="Quarterly (From April)",$E244/4,IF($H244="Termly",$E244/3,IF($H244="Monthly (excl. August)",$E244/11,""))))</f>
        <v/>
      </c>
      <c r="J244" s="302" t="str">
        <f t="shared" ref="J244:K247" si="178">IF($H244="Monthly",$E244/12,IF($H244="Quarterly (From April)",0,IF($H244="Termly",0,IF($H244="Monthly (excl. August)",$E244/11,""))))</f>
        <v/>
      </c>
      <c r="K244" s="302" t="str">
        <f t="shared" si="178"/>
        <v/>
      </c>
      <c r="L244" s="302" t="str">
        <f>IF($H244="Monthly",$E244/12,IF($H244="Quarterly (From April)",$E244/4,IF($H244="Termly",0,IF($H244="Monthly (excl. August)",$E244/11,""))))</f>
        <v/>
      </c>
      <c r="M244" s="302" t="str">
        <f>IF($H244="Monthly",$E244/12,IF($H244="Quarterly (From April)",0,IF($H244="Termly",0,IF($H244="Monthly (excl. August)",0,""))))</f>
        <v/>
      </c>
      <c r="N244" s="302" t="str">
        <f>IF($H244="Monthly",$E244/12,IF($H244="Quarterly (From April)",0,IF($H244="Termly",$E244/3,IF($H244="Monthly (excl. August)",$E244/11,""))))</f>
        <v/>
      </c>
      <c r="O244" s="302" t="str">
        <f>IF($H244="Monthly",$E244/12,IF($H244="Quarterly (From April)",$E244/4,IF($H244="Termly",0,IF($H244="Monthly (excl. August)",$E244/11,""))))</f>
        <v/>
      </c>
      <c r="P244" s="302" t="str">
        <f t="shared" ref="P244:Q247" si="179">IF($H244="Monthly",$E244/12,IF($H244="Quarterly (From April)",0,IF($H244="Termly",0,IF($H244="Monthly (excl. August)",$E244/11,""))))</f>
        <v/>
      </c>
      <c r="Q244" s="302" t="str">
        <f t="shared" si="179"/>
        <v/>
      </c>
      <c r="R244" s="302" t="str">
        <f>IF($H244="Monthly",$E244/12,IF($H244="Quarterly (From April)",$E244/4,IF($H244="Termly",$E244/3,IF($H244="Monthly (excl. August)",$E244/11,""))))</f>
        <v/>
      </c>
      <c r="S244" s="302" t="str">
        <f t="shared" ref="S244:T247" si="180">IF($H244="Monthly",$E244/12,IF($H244="Quarterly (From April)",0,IF($H244="Termly",0,IF($H244="Monthly (excl. August)",$E244/11,""))))</f>
        <v/>
      </c>
      <c r="T244" s="302" t="str">
        <f t="shared" si="180"/>
        <v/>
      </c>
      <c r="U244" s="303">
        <f>E244</f>
        <v>0</v>
      </c>
      <c r="V244" s="214">
        <f>IF(ROUND(SUM(I244:T244),0)&gt;U244,1,IF(ROUND(SUM(I244:T244),0)&lt;U244,1,0))</f>
        <v>0</v>
      </c>
      <c r="W244" s="322">
        <f t="shared" si="177"/>
        <v>0</v>
      </c>
    </row>
    <row r="245" spans="1:23" x14ac:dyDescent="0.2">
      <c r="A245" s="1093"/>
      <c r="B245" s="160"/>
      <c r="C245" s="108"/>
      <c r="D245" s="95"/>
      <c r="E245" s="250"/>
      <c r="F245" s="251"/>
      <c r="H245" s="43" t="s">
        <v>267</v>
      </c>
      <c r="I245" s="302" t="str">
        <f>IF($H245="Monthly",$E245/12,IF($H245="Quarterly (From April)",$E245/4,IF($H245="Termly",$E245/3,IF($H245="Monthly (excl. August)",$E245/11,""))))</f>
        <v/>
      </c>
      <c r="J245" s="302" t="str">
        <f t="shared" si="178"/>
        <v/>
      </c>
      <c r="K245" s="302" t="str">
        <f t="shared" si="178"/>
        <v/>
      </c>
      <c r="L245" s="302" t="str">
        <f>IF($H245="Monthly",$E245/12,IF($H245="Quarterly (From April)",$E245/4,IF($H245="Termly",0,IF($H245="Monthly (excl. August)",$E245/11,""))))</f>
        <v/>
      </c>
      <c r="M245" s="302" t="str">
        <f>IF($H245="Monthly",$E245/12,IF($H245="Quarterly (From April)",0,IF($H245="Termly",0,IF($H245="Monthly (excl. August)",0,""))))</f>
        <v/>
      </c>
      <c r="N245" s="302" t="str">
        <f>IF($H245="Monthly",$E245/12,IF($H245="Quarterly (From April)",0,IF($H245="Termly",$E245/3,IF($H245="Monthly (excl. August)",$E245/11,""))))</f>
        <v/>
      </c>
      <c r="O245" s="302" t="str">
        <f>IF($H245="Monthly",$E245/12,IF($H245="Quarterly (From April)",$E245/4,IF($H245="Termly",0,IF($H245="Monthly (excl. August)",$E245/11,""))))</f>
        <v/>
      </c>
      <c r="P245" s="302" t="str">
        <f t="shared" si="179"/>
        <v/>
      </c>
      <c r="Q245" s="302" t="str">
        <f t="shared" si="179"/>
        <v/>
      </c>
      <c r="R245" s="302" t="str">
        <f>IF($H245="Monthly",$E245/12,IF($H245="Quarterly (From April)",$E245/4,IF($H245="Termly",$E245/3,IF($H245="Monthly (excl. August)",$E245/11,""))))</f>
        <v/>
      </c>
      <c r="S245" s="302" t="str">
        <f t="shared" si="180"/>
        <v/>
      </c>
      <c r="T245" s="302" t="str">
        <f t="shared" si="180"/>
        <v/>
      </c>
      <c r="U245" s="303">
        <f>E245</f>
        <v>0</v>
      </c>
      <c r="V245" s="214">
        <f>IF(ROUND(SUM(I245:T245),0)&gt;U245,1,IF(ROUND(SUM(I245:T245),0)&lt;U245,1,0))</f>
        <v>0</v>
      </c>
      <c r="W245" s="322">
        <f t="shared" si="177"/>
        <v>0</v>
      </c>
    </row>
    <row r="246" spans="1:23" x14ac:dyDescent="0.2">
      <c r="A246" s="1093"/>
      <c r="B246" s="160"/>
      <c r="C246" s="108"/>
      <c r="D246" s="95"/>
      <c r="E246" s="250"/>
      <c r="F246" s="251"/>
      <c r="H246" s="43" t="s">
        <v>267</v>
      </c>
      <c r="I246" s="302" t="str">
        <f>IF($H246="Monthly",$E246/12,IF($H246="Quarterly (From April)",$E246/4,IF($H246="Termly",$E246/3,IF($H246="Monthly (excl. August)",$E246/11,""))))</f>
        <v/>
      </c>
      <c r="J246" s="302" t="str">
        <f t="shared" si="178"/>
        <v/>
      </c>
      <c r="K246" s="302" t="str">
        <f t="shared" si="178"/>
        <v/>
      </c>
      <c r="L246" s="302" t="str">
        <f>IF($H246="Monthly",$E246/12,IF($H246="Quarterly (From April)",$E246/4,IF($H246="Termly",0,IF($H246="Monthly (excl. August)",$E246/11,""))))</f>
        <v/>
      </c>
      <c r="M246" s="302" t="str">
        <f>IF($H246="Monthly",$E246/12,IF($H246="Quarterly (From April)",0,IF($H246="Termly",0,IF($H246="Monthly (excl. August)",0,""))))</f>
        <v/>
      </c>
      <c r="N246" s="302" t="str">
        <f>IF($H246="Monthly",$E246/12,IF($H246="Quarterly (From April)",0,IF($H246="Termly",$E246/3,IF($H246="Monthly (excl. August)",$E246/11,""))))</f>
        <v/>
      </c>
      <c r="O246" s="302" t="str">
        <f>IF($H246="Monthly",$E246/12,IF($H246="Quarterly (From April)",$E246/4,IF($H246="Termly",0,IF($H246="Monthly (excl. August)",$E246/11,""))))</f>
        <v/>
      </c>
      <c r="P246" s="302" t="str">
        <f t="shared" si="179"/>
        <v/>
      </c>
      <c r="Q246" s="302" t="str">
        <f t="shared" si="179"/>
        <v/>
      </c>
      <c r="R246" s="302" t="str">
        <f>IF($H246="Monthly",$E246/12,IF($H246="Quarterly (From April)",$E246/4,IF($H246="Termly",$E246/3,IF($H246="Monthly (excl. August)",$E246/11,""))))</f>
        <v/>
      </c>
      <c r="S246" s="302" t="str">
        <f t="shared" si="180"/>
        <v/>
      </c>
      <c r="T246" s="302" t="str">
        <f t="shared" si="180"/>
        <v/>
      </c>
      <c r="U246" s="303">
        <f>E246</f>
        <v>0</v>
      </c>
      <c r="V246" s="214">
        <f>IF(ROUND(SUM(I246:T246),0)&gt;U246,1,IF(ROUND(SUM(I246:T246),0)&lt;U246,1,0))</f>
        <v>0</v>
      </c>
      <c r="W246" s="322">
        <f t="shared" si="177"/>
        <v>0</v>
      </c>
    </row>
    <row r="247" spans="1:23" ht="13.5" thickBot="1" x14ac:dyDescent="0.25">
      <c r="A247" s="1094"/>
      <c r="B247" s="161"/>
      <c r="C247" s="109"/>
      <c r="D247" s="100"/>
      <c r="E247" s="256"/>
      <c r="F247" s="257">
        <f>SUM(E244:E247)</f>
        <v>0</v>
      </c>
      <c r="H247" s="43" t="s">
        <v>267</v>
      </c>
      <c r="I247" s="302" t="str">
        <f>IF($H247="Monthly",$E247/12,IF($H247="Quarterly (From April)",$E247/4,IF($H247="Termly",$E247/3,IF($H247="Monthly (excl. August)",$E247/11,""))))</f>
        <v/>
      </c>
      <c r="J247" s="302" t="str">
        <f t="shared" si="178"/>
        <v/>
      </c>
      <c r="K247" s="302" t="str">
        <f t="shared" si="178"/>
        <v/>
      </c>
      <c r="L247" s="302" t="str">
        <f>IF($H247="Monthly",$E247/12,IF($H247="Quarterly (From April)",$E247/4,IF($H247="Termly",0,IF($H247="Monthly (excl. August)",$E247/11,""))))</f>
        <v/>
      </c>
      <c r="M247" s="302" t="str">
        <f>IF($H247="Monthly",$E247/12,IF($H247="Quarterly (From April)",0,IF($H247="Termly",0,IF($H247="Monthly (excl. August)",0,""))))</f>
        <v/>
      </c>
      <c r="N247" s="302" t="str">
        <f>IF($H247="Monthly",$E247/12,IF($H247="Quarterly (From April)",0,IF($H247="Termly",$E247/3,IF($H247="Monthly (excl. August)",$E247/11,""))))</f>
        <v/>
      </c>
      <c r="O247" s="302" t="str">
        <f>IF($H247="Monthly",$E247/12,IF($H247="Quarterly (From April)",$E247/4,IF($H247="Termly",0,IF($H247="Monthly (excl. August)",$E247/11,""))))</f>
        <v/>
      </c>
      <c r="P247" s="302" t="str">
        <f t="shared" si="179"/>
        <v/>
      </c>
      <c r="Q247" s="302" t="str">
        <f t="shared" si="179"/>
        <v/>
      </c>
      <c r="R247" s="302" t="str">
        <f>IF($H247="Monthly",$E247/12,IF($H247="Quarterly (From April)",$E247/4,IF($H247="Termly",$E247/3,IF($H247="Monthly (excl. August)",$E247/11,""))))</f>
        <v/>
      </c>
      <c r="S247" s="302" t="str">
        <f t="shared" si="180"/>
        <v/>
      </c>
      <c r="T247" s="302" t="str">
        <f t="shared" si="180"/>
        <v/>
      </c>
      <c r="U247" s="303">
        <f>E247</f>
        <v>0</v>
      </c>
      <c r="V247" s="214">
        <f>IF(ROUND(SUM(I247:T247),0)&gt;U247,1,IF(ROUND(SUM(I247:T247),0)&lt;U247,1,0))</f>
        <v>0</v>
      </c>
      <c r="W247" s="322">
        <f t="shared" si="177"/>
        <v>0</v>
      </c>
    </row>
    <row r="248" spans="1:23" ht="13.5" thickBot="1" x14ac:dyDescent="0.25">
      <c r="A248" s="45"/>
      <c r="B248" s="119"/>
      <c r="C248" s="111"/>
      <c r="D248" s="107"/>
      <c r="E248" s="267"/>
      <c r="F248" s="270"/>
      <c r="I248" s="306"/>
      <c r="J248" s="306"/>
      <c r="K248" s="306"/>
      <c r="L248" s="306"/>
      <c r="M248" s="306"/>
      <c r="N248" s="306"/>
      <c r="O248" s="306"/>
      <c r="P248" s="306"/>
      <c r="Q248" s="306"/>
      <c r="R248" s="306"/>
      <c r="S248" s="306"/>
      <c r="T248" s="306"/>
      <c r="U248" s="305"/>
      <c r="W248" s="322">
        <f t="shared" si="177"/>
        <v>0</v>
      </c>
    </row>
    <row r="249" spans="1:23" ht="12.75" customHeight="1" x14ac:dyDescent="0.2">
      <c r="A249" s="1092" t="s">
        <v>1001</v>
      </c>
      <c r="B249" s="170"/>
      <c r="C249" s="113"/>
      <c r="D249" s="93"/>
      <c r="E249" s="246"/>
      <c r="F249" s="247"/>
      <c r="H249" s="43" t="s">
        <v>267</v>
      </c>
      <c r="I249" s="302" t="str">
        <f>IF($H249="Monthly",$E249/12,IF($H249="Quarterly (From April)",$E249/4,IF($H249="Termly",$E249/3,IF($H249="Monthly (excl. August)",$E249/11,""))))</f>
        <v/>
      </c>
      <c r="J249" s="302" t="str">
        <f t="shared" ref="J249:K252" si="181">IF($H249="Monthly",$E249/12,IF($H249="Quarterly (From April)",0,IF($H249="Termly",0,IF($H249="Monthly (excl. August)",$E249/11,""))))</f>
        <v/>
      </c>
      <c r="K249" s="302" t="str">
        <f t="shared" si="181"/>
        <v/>
      </c>
      <c r="L249" s="302" t="str">
        <f>IF($H249="Monthly",$E249/12,IF($H249="Quarterly (From April)",$E249/4,IF($H249="Termly",0,IF($H249="Monthly (excl. August)",$E249/11,""))))</f>
        <v/>
      </c>
      <c r="M249" s="302" t="str">
        <f>IF($H249="Monthly",$E249/12,IF($H249="Quarterly (From April)",0,IF($H249="Termly",0,IF($H249="Monthly (excl. August)",0,""))))</f>
        <v/>
      </c>
      <c r="N249" s="302" t="str">
        <f>IF($H249="Monthly",$E249/12,IF($H249="Quarterly (From April)",0,IF($H249="Termly",$E249/3,IF($H249="Monthly (excl. August)",$E249/11,""))))</f>
        <v/>
      </c>
      <c r="O249" s="302" t="str">
        <f>IF($H249="Monthly",$E249/12,IF($H249="Quarterly (From April)",$E249/4,IF($H249="Termly",0,IF($H249="Monthly (excl. August)",$E249/11,""))))</f>
        <v/>
      </c>
      <c r="P249" s="302" t="str">
        <f t="shared" ref="P249:Q252" si="182">IF($H249="Monthly",$E249/12,IF($H249="Quarterly (From April)",0,IF($H249="Termly",0,IF($H249="Monthly (excl. August)",$E249/11,""))))</f>
        <v/>
      </c>
      <c r="Q249" s="302" t="str">
        <f t="shared" si="182"/>
        <v/>
      </c>
      <c r="R249" s="302" t="str">
        <f>IF($H249="Monthly",$E249/12,IF($H249="Quarterly (From April)",$E249/4,IF($H249="Termly",$E249/3,IF($H249="Monthly (excl. August)",$E249/11,""))))</f>
        <v/>
      </c>
      <c r="S249" s="302" t="str">
        <f t="shared" ref="S249:T252" si="183">IF($H249="Monthly",$E249/12,IF($H249="Quarterly (From April)",0,IF($H249="Termly",0,IF($H249="Monthly (excl. August)",$E249/11,""))))</f>
        <v/>
      </c>
      <c r="T249" s="302" t="str">
        <f t="shared" si="183"/>
        <v/>
      </c>
      <c r="U249" s="303">
        <f>E249</f>
        <v>0</v>
      </c>
      <c r="V249" s="214">
        <f>IF(ROUND(SUM(I249:T249),0)&gt;U249,1,IF(ROUND(SUM(I249:T249),0)&lt;U249,1,0))</f>
        <v>0</v>
      </c>
      <c r="W249" s="322">
        <f t="shared" si="177"/>
        <v>0</v>
      </c>
    </row>
    <row r="250" spans="1:23" x14ac:dyDescent="0.2">
      <c r="A250" s="1093"/>
      <c r="B250" s="160"/>
      <c r="C250" s="108"/>
      <c r="D250" s="95"/>
      <c r="E250" s="250"/>
      <c r="F250" s="251"/>
      <c r="H250" s="43" t="s">
        <v>267</v>
      </c>
      <c r="I250" s="302" t="str">
        <f>IF($H250="Monthly",$E250/12,IF($H250="Quarterly (From April)",$E250/4,IF($H250="Termly",$E250/3,IF($H250="Monthly (excl. August)",$E250/11,""))))</f>
        <v/>
      </c>
      <c r="J250" s="302" t="str">
        <f t="shared" si="181"/>
        <v/>
      </c>
      <c r="K250" s="302" t="str">
        <f t="shared" si="181"/>
        <v/>
      </c>
      <c r="L250" s="302" t="str">
        <f>IF($H250="Monthly",$E250/12,IF($H250="Quarterly (From April)",$E250/4,IF($H250="Termly",0,IF($H250="Monthly (excl. August)",$E250/11,""))))</f>
        <v/>
      </c>
      <c r="M250" s="302" t="str">
        <f>IF($H250="Monthly",$E250/12,IF($H250="Quarterly (From April)",0,IF($H250="Termly",0,IF($H250="Monthly (excl. August)",0,""))))</f>
        <v/>
      </c>
      <c r="N250" s="302" t="str">
        <f>IF($H250="Monthly",$E250/12,IF($H250="Quarterly (From April)",0,IF($H250="Termly",$E250/3,IF($H250="Monthly (excl. August)",$E250/11,""))))</f>
        <v/>
      </c>
      <c r="O250" s="302" t="str">
        <f>IF($H250="Monthly",$E250/12,IF($H250="Quarterly (From April)",$E250/4,IF($H250="Termly",0,IF($H250="Monthly (excl. August)",$E250/11,""))))</f>
        <v/>
      </c>
      <c r="P250" s="302" t="str">
        <f t="shared" si="182"/>
        <v/>
      </c>
      <c r="Q250" s="302" t="str">
        <f t="shared" si="182"/>
        <v/>
      </c>
      <c r="R250" s="302" t="str">
        <f>IF($H250="Monthly",$E250/12,IF($H250="Quarterly (From April)",$E250/4,IF($H250="Termly",$E250/3,IF($H250="Monthly (excl. August)",$E250/11,""))))</f>
        <v/>
      </c>
      <c r="S250" s="302" t="str">
        <f t="shared" si="183"/>
        <v/>
      </c>
      <c r="T250" s="302" t="str">
        <f t="shared" si="183"/>
        <v/>
      </c>
      <c r="U250" s="303">
        <f>E250</f>
        <v>0</v>
      </c>
      <c r="V250" s="214">
        <f>IF(ROUND(SUM(I250:T250),0)&gt;U250,1,IF(ROUND(SUM(I250:T250),0)&lt;U250,1,0))</f>
        <v>0</v>
      </c>
      <c r="W250" s="322">
        <f t="shared" si="177"/>
        <v>0</v>
      </c>
    </row>
    <row r="251" spans="1:23" x14ac:dyDescent="0.2">
      <c r="A251" s="1093"/>
      <c r="B251" s="160"/>
      <c r="C251" s="108"/>
      <c r="D251" s="95"/>
      <c r="E251" s="250"/>
      <c r="F251" s="251"/>
      <c r="H251" s="43" t="s">
        <v>267</v>
      </c>
      <c r="I251" s="302" t="str">
        <f>IF($H251="Monthly",$E251/12,IF($H251="Quarterly (From April)",$E251/4,IF($H251="Termly",$E251/3,IF($H251="Monthly (excl. August)",$E251/11,""))))</f>
        <v/>
      </c>
      <c r="J251" s="302" t="str">
        <f t="shared" si="181"/>
        <v/>
      </c>
      <c r="K251" s="302" t="str">
        <f t="shared" si="181"/>
        <v/>
      </c>
      <c r="L251" s="302" t="str">
        <f>IF($H251="Monthly",$E251/12,IF($H251="Quarterly (From April)",$E251/4,IF($H251="Termly",0,IF($H251="Monthly (excl. August)",$E251/11,""))))</f>
        <v/>
      </c>
      <c r="M251" s="302" t="str">
        <f>IF($H251="Monthly",$E251/12,IF($H251="Quarterly (From April)",0,IF($H251="Termly",0,IF($H251="Monthly (excl. August)",0,""))))</f>
        <v/>
      </c>
      <c r="N251" s="302" t="str">
        <f>IF($H251="Monthly",$E251/12,IF($H251="Quarterly (From April)",0,IF($H251="Termly",$E251/3,IF($H251="Monthly (excl. August)",$E251/11,""))))</f>
        <v/>
      </c>
      <c r="O251" s="302" t="str">
        <f>IF($H251="Monthly",$E251/12,IF($H251="Quarterly (From April)",$E251/4,IF($H251="Termly",0,IF($H251="Monthly (excl. August)",$E251/11,""))))</f>
        <v/>
      </c>
      <c r="P251" s="302" t="str">
        <f t="shared" si="182"/>
        <v/>
      </c>
      <c r="Q251" s="302" t="str">
        <f t="shared" si="182"/>
        <v/>
      </c>
      <c r="R251" s="302" t="str">
        <f>IF($H251="Monthly",$E251/12,IF($H251="Quarterly (From April)",$E251/4,IF($H251="Termly",$E251/3,IF($H251="Monthly (excl. August)",$E251/11,""))))</f>
        <v/>
      </c>
      <c r="S251" s="302" t="str">
        <f t="shared" si="183"/>
        <v/>
      </c>
      <c r="T251" s="302" t="str">
        <f t="shared" si="183"/>
        <v/>
      </c>
      <c r="U251" s="303">
        <f>E251</f>
        <v>0</v>
      </c>
      <c r="V251" s="214">
        <f>IF(ROUND(SUM(I251:T251),0)&gt;U251,1,IF(ROUND(SUM(I251:T251),0)&lt;U251,1,0))</f>
        <v>0</v>
      </c>
      <c r="W251" s="322">
        <f t="shared" si="177"/>
        <v>0</v>
      </c>
    </row>
    <row r="252" spans="1:23" ht="13.5" thickBot="1" x14ac:dyDescent="0.25">
      <c r="A252" s="1094"/>
      <c r="B252" s="161"/>
      <c r="C252" s="109"/>
      <c r="D252" s="100"/>
      <c r="E252" s="256"/>
      <c r="F252" s="257">
        <f>SUM(E249:E252)</f>
        <v>0</v>
      </c>
      <c r="H252" s="43" t="s">
        <v>267</v>
      </c>
      <c r="I252" s="302" t="str">
        <f>IF($H252="Monthly",$E252/12,IF($H252="Quarterly (From April)",$E252/4,IF($H252="Termly",$E252/3,IF($H252="Monthly (excl. August)",$E252/11,""))))</f>
        <v/>
      </c>
      <c r="J252" s="302" t="str">
        <f t="shared" si="181"/>
        <v/>
      </c>
      <c r="K252" s="302" t="str">
        <f t="shared" si="181"/>
        <v/>
      </c>
      <c r="L252" s="302" t="str">
        <f>IF($H252="Monthly",$E252/12,IF($H252="Quarterly (From April)",$E252/4,IF($H252="Termly",0,IF($H252="Monthly (excl. August)",$E252/11,""))))</f>
        <v/>
      </c>
      <c r="M252" s="302" t="str">
        <f>IF($H252="Monthly",$E252/12,IF($H252="Quarterly (From April)",0,IF($H252="Termly",0,IF($H252="Monthly (excl. August)",0,""))))</f>
        <v/>
      </c>
      <c r="N252" s="302" t="str">
        <f>IF($H252="Monthly",$E252/12,IF($H252="Quarterly (From April)",0,IF($H252="Termly",$E252/3,IF($H252="Monthly (excl. August)",$E252/11,""))))</f>
        <v/>
      </c>
      <c r="O252" s="302" t="str">
        <f>IF($H252="Monthly",$E252/12,IF($H252="Quarterly (From April)",$E252/4,IF($H252="Termly",0,IF($H252="Monthly (excl. August)",$E252/11,""))))</f>
        <v/>
      </c>
      <c r="P252" s="302" t="str">
        <f t="shared" si="182"/>
        <v/>
      </c>
      <c r="Q252" s="302" t="str">
        <f t="shared" si="182"/>
        <v/>
      </c>
      <c r="R252" s="302" t="str">
        <f>IF($H252="Monthly",$E252/12,IF($H252="Quarterly (From April)",$E252/4,IF($H252="Termly",$E252/3,IF($H252="Monthly (excl. August)",$E252/11,""))))</f>
        <v/>
      </c>
      <c r="S252" s="302" t="str">
        <f t="shared" si="183"/>
        <v/>
      </c>
      <c r="T252" s="302" t="str">
        <f t="shared" si="183"/>
        <v/>
      </c>
      <c r="U252" s="303">
        <f>E252</f>
        <v>0</v>
      </c>
      <c r="V252" s="214">
        <f>IF(ROUND(SUM(I252:T252),0)&gt;U252,1,IF(ROUND(SUM(I252:T252),0)&lt;U252,1,0))</f>
        <v>0</v>
      </c>
      <c r="W252" s="322">
        <f t="shared" si="177"/>
        <v>0</v>
      </c>
    </row>
    <row r="253" spans="1:23" ht="13.5" thickBot="1" x14ac:dyDescent="0.25">
      <c r="A253" s="41"/>
      <c r="B253" s="117"/>
      <c r="C253" s="101"/>
      <c r="D253" s="102"/>
      <c r="E253" s="259"/>
      <c r="F253" s="260"/>
      <c r="I253" s="306"/>
      <c r="J253" s="306"/>
      <c r="K253" s="306"/>
      <c r="L253" s="306"/>
      <c r="M253" s="306"/>
      <c r="N253" s="306"/>
      <c r="O253" s="306"/>
      <c r="P253" s="306"/>
      <c r="Q253" s="306"/>
      <c r="R253" s="306"/>
      <c r="S253" s="306"/>
      <c r="T253" s="306"/>
      <c r="U253" s="305"/>
      <c r="W253" s="322">
        <f t="shared" si="177"/>
        <v>0</v>
      </c>
    </row>
    <row r="254" spans="1:23" ht="12.75" customHeight="1" x14ac:dyDescent="0.2">
      <c r="A254" s="1092" t="s">
        <v>1001</v>
      </c>
      <c r="B254" s="170"/>
      <c r="C254" s="113"/>
      <c r="D254" s="93"/>
      <c r="E254" s="246"/>
      <c r="F254" s="247"/>
      <c r="H254" s="43" t="s">
        <v>267</v>
      </c>
      <c r="I254" s="302" t="str">
        <f>IF($H254="Monthly",$E254/12,IF($H254="Quarterly (From April)",$E254/4,IF($H254="Termly",$E254/3,IF($H254="Monthly (excl. August)",$E254/11,""))))</f>
        <v/>
      </c>
      <c r="J254" s="302" t="str">
        <f t="shared" ref="J254:K257" si="184">IF($H254="Monthly",$E254/12,IF($H254="Quarterly (From April)",0,IF($H254="Termly",0,IF($H254="Monthly (excl. August)",$E254/11,""))))</f>
        <v/>
      </c>
      <c r="K254" s="302" t="str">
        <f t="shared" si="184"/>
        <v/>
      </c>
      <c r="L254" s="302" t="str">
        <f>IF($H254="Monthly",$E254/12,IF($H254="Quarterly (From April)",$E254/4,IF($H254="Termly",0,IF($H254="Monthly (excl. August)",$E254/11,""))))</f>
        <v/>
      </c>
      <c r="M254" s="302" t="str">
        <f>IF($H254="Monthly",$E254/12,IF($H254="Quarterly (From April)",0,IF($H254="Termly",0,IF($H254="Monthly (excl. August)",0,""))))</f>
        <v/>
      </c>
      <c r="N254" s="302" t="str">
        <f>IF($H254="Monthly",$E254/12,IF($H254="Quarterly (From April)",0,IF($H254="Termly",$E254/3,IF($H254="Monthly (excl. August)",$E254/11,""))))</f>
        <v/>
      </c>
      <c r="O254" s="302" t="str">
        <f>IF($H254="Monthly",$E254/12,IF($H254="Quarterly (From April)",$E254/4,IF($H254="Termly",0,IF($H254="Monthly (excl. August)",$E254/11,""))))</f>
        <v/>
      </c>
      <c r="P254" s="302" t="str">
        <f t="shared" ref="P254:Q257" si="185">IF($H254="Monthly",$E254/12,IF($H254="Quarterly (From April)",0,IF($H254="Termly",0,IF($H254="Monthly (excl. August)",$E254/11,""))))</f>
        <v/>
      </c>
      <c r="Q254" s="302" t="str">
        <f t="shared" si="185"/>
        <v/>
      </c>
      <c r="R254" s="302" t="str">
        <f>IF($H254="Monthly",$E254/12,IF($H254="Quarterly (From April)",$E254/4,IF($H254="Termly",$E254/3,IF($H254="Monthly (excl. August)",$E254/11,""))))</f>
        <v/>
      </c>
      <c r="S254" s="302" t="str">
        <f t="shared" ref="S254:T257" si="186">IF($H254="Monthly",$E254/12,IF($H254="Quarterly (From April)",0,IF($H254="Termly",0,IF($H254="Monthly (excl. August)",$E254/11,""))))</f>
        <v/>
      </c>
      <c r="T254" s="302" t="str">
        <f t="shared" si="186"/>
        <v/>
      </c>
      <c r="U254" s="303">
        <f>E254</f>
        <v>0</v>
      </c>
      <c r="V254" s="214">
        <f>IF(ROUND(SUM(I254:T254),0)&gt;U254,1,IF(ROUND(SUM(I254:T254),0)&lt;U254,1,0))</f>
        <v>0</v>
      </c>
      <c r="W254" s="322">
        <f t="shared" si="177"/>
        <v>0</v>
      </c>
    </row>
    <row r="255" spans="1:23" x14ac:dyDescent="0.2">
      <c r="A255" s="1093"/>
      <c r="B255" s="160"/>
      <c r="C255" s="108"/>
      <c r="D255" s="95"/>
      <c r="E255" s="250"/>
      <c r="F255" s="251"/>
      <c r="H255" s="43" t="s">
        <v>267</v>
      </c>
      <c r="I255" s="302" t="str">
        <f>IF($H255="Monthly",$E255/12,IF($H255="Quarterly (From April)",$E255/4,IF($H255="Termly",$E255/3,IF($H255="Monthly (excl. August)",$E255/11,""))))</f>
        <v/>
      </c>
      <c r="J255" s="302" t="str">
        <f t="shared" si="184"/>
        <v/>
      </c>
      <c r="K255" s="302" t="str">
        <f t="shared" si="184"/>
        <v/>
      </c>
      <c r="L255" s="302" t="str">
        <f>IF($H255="Monthly",$E255/12,IF($H255="Quarterly (From April)",$E255/4,IF($H255="Termly",0,IF($H255="Monthly (excl. August)",$E255/11,""))))</f>
        <v/>
      </c>
      <c r="M255" s="302" t="str">
        <f>IF($H255="Monthly",$E255/12,IF($H255="Quarterly (From April)",0,IF($H255="Termly",0,IF($H255="Monthly (excl. August)",0,""))))</f>
        <v/>
      </c>
      <c r="N255" s="302" t="str">
        <f>IF($H255="Monthly",$E255/12,IF($H255="Quarterly (From April)",0,IF($H255="Termly",$E255/3,IF($H255="Monthly (excl. August)",$E255/11,""))))</f>
        <v/>
      </c>
      <c r="O255" s="302" t="str">
        <f>IF($H255="Monthly",$E255/12,IF($H255="Quarterly (From April)",$E255/4,IF($H255="Termly",0,IF($H255="Monthly (excl. August)",$E255/11,""))))</f>
        <v/>
      </c>
      <c r="P255" s="302" t="str">
        <f t="shared" si="185"/>
        <v/>
      </c>
      <c r="Q255" s="302" t="str">
        <f t="shared" si="185"/>
        <v/>
      </c>
      <c r="R255" s="302" t="str">
        <f>IF($H255="Monthly",$E255/12,IF($H255="Quarterly (From April)",$E255/4,IF($H255="Termly",$E255/3,IF($H255="Monthly (excl. August)",$E255/11,""))))</f>
        <v/>
      </c>
      <c r="S255" s="302" t="str">
        <f t="shared" si="186"/>
        <v/>
      </c>
      <c r="T255" s="302" t="str">
        <f t="shared" si="186"/>
        <v/>
      </c>
      <c r="U255" s="303">
        <f>E255</f>
        <v>0</v>
      </c>
      <c r="V255" s="214">
        <f>IF(ROUND(SUM(I255:T255),0)&gt;U255,1,IF(ROUND(SUM(I255:T255),0)&lt;U255,1,0))</f>
        <v>0</v>
      </c>
      <c r="W255" s="322">
        <f t="shared" si="177"/>
        <v>0</v>
      </c>
    </row>
    <row r="256" spans="1:23" x14ac:dyDescent="0.2">
      <c r="A256" s="1093"/>
      <c r="B256" s="160"/>
      <c r="C256" s="108"/>
      <c r="D256" s="95"/>
      <c r="E256" s="250"/>
      <c r="F256" s="251"/>
      <c r="H256" s="43" t="s">
        <v>267</v>
      </c>
      <c r="I256" s="302" t="str">
        <f>IF($H256="Monthly",$E256/12,IF($H256="Quarterly (From April)",$E256/4,IF($H256="Termly",$E256/3,IF($H256="Monthly (excl. August)",$E256/11,""))))</f>
        <v/>
      </c>
      <c r="J256" s="302" t="str">
        <f t="shared" si="184"/>
        <v/>
      </c>
      <c r="K256" s="302" t="str">
        <f t="shared" si="184"/>
        <v/>
      </c>
      <c r="L256" s="302" t="str">
        <f>IF($H256="Monthly",$E256/12,IF($H256="Quarterly (From April)",$E256/4,IF($H256="Termly",0,IF($H256="Monthly (excl. August)",$E256/11,""))))</f>
        <v/>
      </c>
      <c r="M256" s="302" t="str">
        <f>IF($H256="Monthly",$E256/12,IF($H256="Quarterly (From April)",0,IF($H256="Termly",0,IF($H256="Monthly (excl. August)",0,""))))</f>
        <v/>
      </c>
      <c r="N256" s="302" t="str">
        <f>IF($H256="Monthly",$E256/12,IF($H256="Quarterly (From April)",0,IF($H256="Termly",$E256/3,IF($H256="Monthly (excl. August)",$E256/11,""))))</f>
        <v/>
      </c>
      <c r="O256" s="302" t="str">
        <f>IF($H256="Monthly",$E256/12,IF($H256="Quarterly (From April)",$E256/4,IF($H256="Termly",0,IF($H256="Monthly (excl. August)",$E256/11,""))))</f>
        <v/>
      </c>
      <c r="P256" s="302" t="str">
        <f t="shared" si="185"/>
        <v/>
      </c>
      <c r="Q256" s="302" t="str">
        <f t="shared" si="185"/>
        <v/>
      </c>
      <c r="R256" s="302" t="str">
        <f>IF($H256="Monthly",$E256/12,IF($H256="Quarterly (From April)",$E256/4,IF($H256="Termly",$E256/3,IF($H256="Monthly (excl. August)",$E256/11,""))))</f>
        <v/>
      </c>
      <c r="S256" s="302" t="str">
        <f t="shared" si="186"/>
        <v/>
      </c>
      <c r="T256" s="302" t="str">
        <f t="shared" si="186"/>
        <v/>
      </c>
      <c r="U256" s="303">
        <f>E256</f>
        <v>0</v>
      </c>
      <c r="V256" s="214">
        <f>IF(ROUND(SUM(I256:T256),0)&gt;U256,1,IF(ROUND(SUM(I256:T256),0)&lt;U256,1,0))</f>
        <v>0</v>
      </c>
      <c r="W256" s="322">
        <f t="shared" si="177"/>
        <v>0</v>
      </c>
    </row>
    <row r="257" spans="1:23" ht="13.5" thickBot="1" x14ac:dyDescent="0.25">
      <c r="A257" s="1094"/>
      <c r="B257" s="161"/>
      <c r="C257" s="109"/>
      <c r="D257" s="100"/>
      <c r="E257" s="256"/>
      <c r="F257" s="257">
        <f>SUM(E254:E257)</f>
        <v>0</v>
      </c>
      <c r="H257" s="43" t="s">
        <v>267</v>
      </c>
      <c r="I257" s="302" t="str">
        <f>IF($H257="Monthly",$E257/12,IF($H257="Quarterly (From April)",$E257/4,IF($H257="Termly",$E257/3,IF($H257="Monthly (excl. August)",$E257/11,""))))</f>
        <v/>
      </c>
      <c r="J257" s="302" t="str">
        <f t="shared" si="184"/>
        <v/>
      </c>
      <c r="K257" s="302" t="str">
        <f t="shared" si="184"/>
        <v/>
      </c>
      <c r="L257" s="302" t="str">
        <f>IF($H257="Monthly",$E257/12,IF($H257="Quarterly (From April)",$E257/4,IF($H257="Termly",0,IF($H257="Monthly (excl. August)",$E257/11,""))))</f>
        <v/>
      </c>
      <c r="M257" s="302" t="str">
        <f>IF($H257="Monthly",$E257/12,IF($H257="Quarterly (From April)",0,IF($H257="Termly",0,IF($H257="Monthly (excl. August)",0,""))))</f>
        <v/>
      </c>
      <c r="N257" s="302" t="str">
        <f>IF($H257="Monthly",$E257/12,IF($H257="Quarterly (From April)",0,IF($H257="Termly",$E257/3,IF($H257="Monthly (excl. August)",$E257/11,""))))</f>
        <v/>
      </c>
      <c r="O257" s="302" t="str">
        <f>IF($H257="Monthly",$E257/12,IF($H257="Quarterly (From April)",$E257/4,IF($H257="Termly",0,IF($H257="Monthly (excl. August)",$E257/11,""))))</f>
        <v/>
      </c>
      <c r="P257" s="302" t="str">
        <f t="shared" si="185"/>
        <v/>
      </c>
      <c r="Q257" s="302" t="str">
        <f t="shared" si="185"/>
        <v/>
      </c>
      <c r="R257" s="302" t="str">
        <f>IF($H257="Monthly",$E257/12,IF($H257="Quarterly (From April)",$E257/4,IF($H257="Termly",$E257/3,IF($H257="Monthly (excl. August)",$E257/11,""))))</f>
        <v/>
      </c>
      <c r="S257" s="302" t="str">
        <f t="shared" si="186"/>
        <v/>
      </c>
      <c r="T257" s="302" t="str">
        <f t="shared" si="186"/>
        <v/>
      </c>
      <c r="U257" s="303">
        <f>E257</f>
        <v>0</v>
      </c>
      <c r="V257" s="214">
        <f>IF(ROUND(SUM(I257:T257),0)&gt;U257,1,IF(ROUND(SUM(I257:T257),0)&lt;U257,1,0))</f>
        <v>0</v>
      </c>
      <c r="W257" s="322">
        <f t="shared" si="177"/>
        <v>0</v>
      </c>
    </row>
    <row r="258" spans="1:23" ht="13.5" thickBot="1" x14ac:dyDescent="0.25">
      <c r="A258" s="45"/>
      <c r="B258" s="119"/>
      <c r="C258" s="111"/>
      <c r="D258" s="107"/>
      <c r="E258" s="267"/>
      <c r="F258" s="270"/>
      <c r="I258" s="306"/>
      <c r="J258" s="306"/>
      <c r="K258" s="306"/>
      <c r="L258" s="306"/>
      <c r="M258" s="306"/>
      <c r="N258" s="306"/>
      <c r="O258" s="306"/>
      <c r="P258" s="306"/>
      <c r="Q258" s="306"/>
      <c r="R258" s="306"/>
      <c r="S258" s="306"/>
      <c r="T258" s="306"/>
      <c r="U258" s="305"/>
      <c r="W258" s="322">
        <f t="shared" si="177"/>
        <v>0</v>
      </c>
    </row>
    <row r="259" spans="1:23" ht="12.75" customHeight="1" x14ac:dyDescent="0.2">
      <c r="A259" s="1092" t="s">
        <v>1001</v>
      </c>
      <c r="B259" s="170"/>
      <c r="C259" s="113"/>
      <c r="D259" s="93"/>
      <c r="E259" s="246"/>
      <c r="F259" s="247"/>
      <c r="H259" s="43" t="s">
        <v>267</v>
      </c>
      <c r="I259" s="302" t="str">
        <f>IF($H259="Monthly",$E259/12,IF($H259="Quarterly (From April)",$E259/4,IF($H259="Termly",$E259/3,IF($H259="Monthly (excl. August)",$E259/11,""))))</f>
        <v/>
      </c>
      <c r="J259" s="302" t="str">
        <f t="shared" ref="J259:K262" si="187">IF($H259="Monthly",$E259/12,IF($H259="Quarterly (From April)",0,IF($H259="Termly",0,IF($H259="Monthly (excl. August)",$E259/11,""))))</f>
        <v/>
      </c>
      <c r="K259" s="302" t="str">
        <f t="shared" si="187"/>
        <v/>
      </c>
      <c r="L259" s="302" t="str">
        <f>IF($H259="Monthly",$E259/12,IF($H259="Quarterly (From April)",$E259/4,IF($H259="Termly",0,IF($H259="Monthly (excl. August)",$E259/11,""))))</f>
        <v/>
      </c>
      <c r="M259" s="302" t="str">
        <f>IF($H259="Monthly",$E259/12,IF($H259="Quarterly (From April)",0,IF($H259="Termly",0,IF($H259="Monthly (excl. August)",0,""))))</f>
        <v/>
      </c>
      <c r="N259" s="302" t="str">
        <f>IF($H259="Monthly",$E259/12,IF($H259="Quarterly (From April)",0,IF($H259="Termly",$E259/3,IF($H259="Monthly (excl. August)",$E259/11,""))))</f>
        <v/>
      </c>
      <c r="O259" s="302" t="str">
        <f>IF($H259="Monthly",$E259/12,IF($H259="Quarterly (From April)",$E259/4,IF($H259="Termly",0,IF($H259="Monthly (excl. August)",$E259/11,""))))</f>
        <v/>
      </c>
      <c r="P259" s="302" t="str">
        <f t="shared" ref="P259:Q262" si="188">IF($H259="Monthly",$E259/12,IF($H259="Quarterly (From April)",0,IF($H259="Termly",0,IF($H259="Monthly (excl. August)",$E259/11,""))))</f>
        <v/>
      </c>
      <c r="Q259" s="302" t="str">
        <f t="shared" si="188"/>
        <v/>
      </c>
      <c r="R259" s="302" t="str">
        <f>IF($H259="Monthly",$E259/12,IF($H259="Quarterly (From April)",$E259/4,IF($H259="Termly",$E259/3,IF($H259="Monthly (excl. August)",$E259/11,""))))</f>
        <v/>
      </c>
      <c r="S259" s="302" t="str">
        <f t="shared" ref="S259:T262" si="189">IF($H259="Monthly",$E259/12,IF($H259="Quarterly (From April)",0,IF($H259="Termly",0,IF($H259="Monthly (excl. August)",$E259/11,""))))</f>
        <v/>
      </c>
      <c r="T259" s="302" t="str">
        <f t="shared" si="189"/>
        <v/>
      </c>
      <c r="U259" s="303">
        <f>E259</f>
        <v>0</v>
      </c>
      <c r="V259" s="214">
        <f>IF(ROUND(SUM(I259:T259),0)&gt;U259,1,IF(ROUND(SUM(I259:T259),0)&lt;U259,1,0))</f>
        <v>0</v>
      </c>
      <c r="W259" s="322">
        <f t="shared" si="177"/>
        <v>0</v>
      </c>
    </row>
    <row r="260" spans="1:23" x14ac:dyDescent="0.2">
      <c r="A260" s="1093"/>
      <c r="B260" s="160"/>
      <c r="C260" s="108"/>
      <c r="D260" s="95"/>
      <c r="E260" s="250"/>
      <c r="F260" s="251"/>
      <c r="H260" s="43" t="s">
        <v>267</v>
      </c>
      <c r="I260" s="302" t="str">
        <f>IF($H260="Monthly",$E260/12,IF($H260="Quarterly (From April)",$E260/4,IF($H260="Termly",$E260/3,IF($H260="Monthly (excl. August)",$E260/11,""))))</f>
        <v/>
      </c>
      <c r="J260" s="302" t="str">
        <f t="shared" si="187"/>
        <v/>
      </c>
      <c r="K260" s="302" t="str">
        <f t="shared" si="187"/>
        <v/>
      </c>
      <c r="L260" s="302" t="str">
        <f>IF($H260="Monthly",$E260/12,IF($H260="Quarterly (From April)",$E260/4,IF($H260="Termly",0,IF($H260="Monthly (excl. August)",$E260/11,""))))</f>
        <v/>
      </c>
      <c r="M260" s="302" t="str">
        <f>IF($H260="Monthly",$E260/12,IF($H260="Quarterly (From April)",0,IF($H260="Termly",0,IF($H260="Monthly (excl. August)",0,""))))</f>
        <v/>
      </c>
      <c r="N260" s="302" t="str">
        <f>IF($H260="Monthly",$E260/12,IF($H260="Quarterly (From April)",0,IF($H260="Termly",$E260/3,IF($H260="Monthly (excl. August)",$E260/11,""))))</f>
        <v/>
      </c>
      <c r="O260" s="302" t="str">
        <f>IF($H260="Monthly",$E260/12,IF($H260="Quarterly (From April)",$E260/4,IF($H260="Termly",0,IF($H260="Monthly (excl. August)",$E260/11,""))))</f>
        <v/>
      </c>
      <c r="P260" s="302" t="str">
        <f t="shared" si="188"/>
        <v/>
      </c>
      <c r="Q260" s="302" t="str">
        <f t="shared" si="188"/>
        <v/>
      </c>
      <c r="R260" s="302" t="str">
        <f>IF($H260="Monthly",$E260/12,IF($H260="Quarterly (From April)",$E260/4,IF($H260="Termly",$E260/3,IF($H260="Monthly (excl. August)",$E260/11,""))))</f>
        <v/>
      </c>
      <c r="S260" s="302" t="str">
        <f t="shared" si="189"/>
        <v/>
      </c>
      <c r="T260" s="302" t="str">
        <f t="shared" si="189"/>
        <v/>
      </c>
      <c r="U260" s="303">
        <f>E260</f>
        <v>0</v>
      </c>
      <c r="V260" s="214">
        <f>IF(ROUND(SUM(I260:T260),0)&gt;U260,1,IF(ROUND(SUM(I260:T260),0)&lt;U260,1,0))</f>
        <v>0</v>
      </c>
      <c r="W260" s="322">
        <f t="shared" si="177"/>
        <v>0</v>
      </c>
    </row>
    <row r="261" spans="1:23" x14ac:dyDescent="0.2">
      <c r="A261" s="1093"/>
      <c r="B261" s="160"/>
      <c r="C261" s="108"/>
      <c r="D261" s="95"/>
      <c r="E261" s="250"/>
      <c r="F261" s="251"/>
      <c r="H261" s="43" t="s">
        <v>267</v>
      </c>
      <c r="I261" s="302" t="str">
        <f>IF($H261="Monthly",$E261/12,IF($H261="Quarterly (From April)",$E261/4,IF($H261="Termly",$E261/3,IF($H261="Monthly (excl. August)",$E261/11,""))))</f>
        <v/>
      </c>
      <c r="J261" s="302" t="str">
        <f t="shared" si="187"/>
        <v/>
      </c>
      <c r="K261" s="302" t="str">
        <f t="shared" si="187"/>
        <v/>
      </c>
      <c r="L261" s="302" t="str">
        <f>IF($H261="Monthly",$E261/12,IF($H261="Quarterly (From April)",$E261/4,IF($H261="Termly",0,IF($H261="Monthly (excl. August)",$E261/11,""))))</f>
        <v/>
      </c>
      <c r="M261" s="302" t="str">
        <f>IF($H261="Monthly",$E261/12,IF($H261="Quarterly (From April)",0,IF($H261="Termly",0,IF($H261="Monthly (excl. August)",0,""))))</f>
        <v/>
      </c>
      <c r="N261" s="302" t="str">
        <f>IF($H261="Monthly",$E261/12,IF($H261="Quarterly (From April)",0,IF($H261="Termly",$E261/3,IF($H261="Monthly (excl. August)",$E261/11,""))))</f>
        <v/>
      </c>
      <c r="O261" s="302" t="str">
        <f>IF($H261="Monthly",$E261/12,IF($H261="Quarterly (From April)",$E261/4,IF($H261="Termly",0,IF($H261="Monthly (excl. August)",$E261/11,""))))</f>
        <v/>
      </c>
      <c r="P261" s="302" t="str">
        <f t="shared" si="188"/>
        <v/>
      </c>
      <c r="Q261" s="302" t="str">
        <f t="shared" si="188"/>
        <v/>
      </c>
      <c r="R261" s="302" t="str">
        <f>IF($H261="Monthly",$E261/12,IF($H261="Quarterly (From April)",$E261/4,IF($H261="Termly",$E261/3,IF($H261="Monthly (excl. August)",$E261/11,""))))</f>
        <v/>
      </c>
      <c r="S261" s="302" t="str">
        <f t="shared" si="189"/>
        <v/>
      </c>
      <c r="T261" s="302" t="str">
        <f t="shared" si="189"/>
        <v/>
      </c>
      <c r="U261" s="303">
        <f>E261</f>
        <v>0</v>
      </c>
      <c r="V261" s="214">
        <f>IF(ROUND(SUM(I261:T261),0)&gt;U261,1,IF(ROUND(SUM(I261:T261),0)&lt;U261,1,0))</f>
        <v>0</v>
      </c>
      <c r="W261" s="322">
        <f t="shared" si="177"/>
        <v>0</v>
      </c>
    </row>
    <row r="262" spans="1:23" ht="13.5" thickBot="1" x14ac:dyDescent="0.25">
      <c r="A262" s="1094"/>
      <c r="B262" s="161"/>
      <c r="C262" s="109"/>
      <c r="D262" s="100"/>
      <c r="E262" s="256"/>
      <c r="F262" s="257">
        <f>SUM(E259:E262)</f>
        <v>0</v>
      </c>
      <c r="H262" s="43" t="s">
        <v>267</v>
      </c>
      <c r="I262" s="302" t="str">
        <f>IF($H262="Monthly",$E262/12,IF($H262="Quarterly (From April)",$E262/4,IF($H262="Termly",$E262/3,IF($H262="Monthly (excl. August)",$E262/11,""))))</f>
        <v/>
      </c>
      <c r="J262" s="302" t="str">
        <f t="shared" si="187"/>
        <v/>
      </c>
      <c r="K262" s="302" t="str">
        <f t="shared" si="187"/>
        <v/>
      </c>
      <c r="L262" s="302" t="str">
        <f>IF($H262="Monthly",$E262/12,IF($H262="Quarterly (From April)",$E262/4,IF($H262="Termly",0,IF($H262="Monthly (excl. August)",$E262/11,""))))</f>
        <v/>
      </c>
      <c r="M262" s="302" t="str">
        <f>IF($H262="Monthly",$E262/12,IF($H262="Quarterly (From April)",0,IF($H262="Termly",0,IF($H262="Monthly (excl. August)",0,""))))</f>
        <v/>
      </c>
      <c r="N262" s="302" t="str">
        <f>IF($H262="Monthly",$E262/12,IF($H262="Quarterly (From April)",0,IF($H262="Termly",$E262/3,IF($H262="Monthly (excl. August)",$E262/11,""))))</f>
        <v/>
      </c>
      <c r="O262" s="302" t="str">
        <f>IF($H262="Monthly",$E262/12,IF($H262="Quarterly (From April)",$E262/4,IF($H262="Termly",0,IF($H262="Monthly (excl. August)",$E262/11,""))))</f>
        <v/>
      </c>
      <c r="P262" s="302" t="str">
        <f t="shared" si="188"/>
        <v/>
      </c>
      <c r="Q262" s="302" t="str">
        <f t="shared" si="188"/>
        <v/>
      </c>
      <c r="R262" s="302" t="str">
        <f>IF($H262="Monthly",$E262/12,IF($H262="Quarterly (From April)",$E262/4,IF($H262="Termly",$E262/3,IF($H262="Monthly (excl. August)",$E262/11,""))))</f>
        <v/>
      </c>
      <c r="S262" s="302" t="str">
        <f t="shared" si="189"/>
        <v/>
      </c>
      <c r="T262" s="302" t="str">
        <f t="shared" si="189"/>
        <v/>
      </c>
      <c r="U262" s="303">
        <f>E262</f>
        <v>0</v>
      </c>
      <c r="V262" s="214">
        <f>IF(ROUND(SUM(I262:T262),0)&gt;U262,1,IF(ROUND(SUM(I262:T262),0)&lt;U262,1,0))</f>
        <v>0</v>
      </c>
      <c r="W262" s="322">
        <f t="shared" si="177"/>
        <v>0</v>
      </c>
    </row>
    <row r="263" spans="1:23" ht="13.5" thickBot="1" x14ac:dyDescent="0.25">
      <c r="A263" s="45"/>
      <c r="B263" s="119"/>
      <c r="C263" s="111"/>
      <c r="D263" s="107"/>
      <c r="E263" s="267"/>
      <c r="F263" s="270"/>
      <c r="I263" s="306"/>
      <c r="J263" s="306"/>
      <c r="K263" s="306"/>
      <c r="L263" s="306"/>
      <c r="M263" s="306"/>
      <c r="N263" s="306"/>
      <c r="O263" s="306"/>
      <c r="P263" s="306"/>
      <c r="Q263" s="306"/>
      <c r="R263" s="306"/>
      <c r="S263" s="306"/>
      <c r="T263" s="306"/>
      <c r="U263" s="305"/>
      <c r="W263" s="322">
        <f t="shared" si="177"/>
        <v>0</v>
      </c>
    </row>
    <row r="264" spans="1:23" ht="12.75" customHeight="1" x14ac:dyDescent="0.2">
      <c r="A264" s="1092" t="s">
        <v>1001</v>
      </c>
      <c r="B264" s="170"/>
      <c r="C264" s="113"/>
      <c r="D264" s="93"/>
      <c r="E264" s="246"/>
      <c r="F264" s="247"/>
      <c r="H264" s="43" t="s">
        <v>267</v>
      </c>
      <c r="I264" s="302" t="str">
        <f>IF($H264="Monthly",$E264/12,IF($H264="Quarterly (From April)",$E264/4,IF($H264="Termly",$E264/3,IF($H264="Monthly (excl. August)",$E264/11,""))))</f>
        <v/>
      </c>
      <c r="J264" s="302" t="str">
        <f t="shared" ref="J264:K267" si="190">IF($H264="Monthly",$E264/12,IF($H264="Quarterly (From April)",0,IF($H264="Termly",0,IF($H264="Monthly (excl. August)",$E264/11,""))))</f>
        <v/>
      </c>
      <c r="K264" s="302" t="str">
        <f t="shared" si="190"/>
        <v/>
      </c>
      <c r="L264" s="302" t="str">
        <f>IF($H264="Monthly",$E264/12,IF($H264="Quarterly (From April)",$E264/4,IF($H264="Termly",0,IF($H264="Monthly (excl. August)",$E264/11,""))))</f>
        <v/>
      </c>
      <c r="M264" s="302" t="str">
        <f>IF($H264="Monthly",$E264/12,IF($H264="Quarterly (From April)",0,IF($H264="Termly",0,IF($H264="Monthly (excl. August)",0,""))))</f>
        <v/>
      </c>
      <c r="N264" s="302" t="str">
        <f>IF($H264="Monthly",$E264/12,IF($H264="Quarterly (From April)",0,IF($H264="Termly",$E264/3,IF($H264="Monthly (excl. August)",$E264/11,""))))</f>
        <v/>
      </c>
      <c r="O264" s="302" t="str">
        <f>IF($H264="Monthly",$E264/12,IF($H264="Quarterly (From April)",$E264/4,IF($H264="Termly",0,IF($H264="Monthly (excl. August)",$E264/11,""))))</f>
        <v/>
      </c>
      <c r="P264" s="302" t="str">
        <f t="shared" ref="P264:Q267" si="191">IF($H264="Monthly",$E264/12,IF($H264="Quarterly (From April)",0,IF($H264="Termly",0,IF($H264="Monthly (excl. August)",$E264/11,""))))</f>
        <v/>
      </c>
      <c r="Q264" s="302" t="str">
        <f t="shared" si="191"/>
        <v/>
      </c>
      <c r="R264" s="302" t="str">
        <f>IF($H264="Monthly",$E264/12,IF($H264="Quarterly (From April)",$E264/4,IF($H264="Termly",$E264/3,IF($H264="Monthly (excl. August)",$E264/11,""))))</f>
        <v/>
      </c>
      <c r="S264" s="302" t="str">
        <f t="shared" ref="S264:T267" si="192">IF($H264="Monthly",$E264/12,IF($H264="Quarterly (From April)",0,IF($H264="Termly",0,IF($H264="Monthly (excl. August)",$E264/11,""))))</f>
        <v/>
      </c>
      <c r="T264" s="302" t="str">
        <f t="shared" si="192"/>
        <v/>
      </c>
      <c r="U264" s="303">
        <f>E264</f>
        <v>0</v>
      </c>
      <c r="V264" s="214">
        <f>IF(ROUND(SUM(I264:T264),0)&gt;U264,1,IF(ROUND(SUM(I264:T264),0)&lt;U264,1,0))</f>
        <v>0</v>
      </c>
      <c r="W264" s="322">
        <f t="shared" si="177"/>
        <v>0</v>
      </c>
    </row>
    <row r="265" spans="1:23" x14ac:dyDescent="0.2">
      <c r="A265" s="1093"/>
      <c r="B265" s="160"/>
      <c r="C265" s="108"/>
      <c r="D265" s="95"/>
      <c r="E265" s="250"/>
      <c r="F265" s="251"/>
      <c r="H265" s="43" t="s">
        <v>267</v>
      </c>
      <c r="I265" s="302" t="str">
        <f>IF($H265="Monthly",$E265/12,IF($H265="Quarterly (From April)",$E265/4,IF($H265="Termly",$E265/3,IF($H265="Monthly (excl. August)",$E265/11,""))))</f>
        <v/>
      </c>
      <c r="J265" s="302" t="str">
        <f t="shared" si="190"/>
        <v/>
      </c>
      <c r="K265" s="302" t="str">
        <f t="shared" si="190"/>
        <v/>
      </c>
      <c r="L265" s="302" t="str">
        <f>IF($H265="Monthly",$E265/12,IF($H265="Quarterly (From April)",$E265/4,IF($H265="Termly",0,IF($H265="Monthly (excl. August)",$E265/11,""))))</f>
        <v/>
      </c>
      <c r="M265" s="302" t="str">
        <f>IF($H265="Monthly",$E265/12,IF($H265="Quarterly (From April)",0,IF($H265="Termly",0,IF($H265="Monthly (excl. August)",0,""))))</f>
        <v/>
      </c>
      <c r="N265" s="302" t="str">
        <f>IF($H265="Monthly",$E265/12,IF($H265="Quarterly (From April)",0,IF($H265="Termly",$E265/3,IF($H265="Monthly (excl. August)",$E265/11,""))))</f>
        <v/>
      </c>
      <c r="O265" s="302" t="str">
        <f>IF($H265="Monthly",$E265/12,IF($H265="Quarterly (From April)",$E265/4,IF($H265="Termly",0,IF($H265="Monthly (excl. August)",$E265/11,""))))</f>
        <v/>
      </c>
      <c r="P265" s="302" t="str">
        <f t="shared" si="191"/>
        <v/>
      </c>
      <c r="Q265" s="302" t="str">
        <f t="shared" si="191"/>
        <v/>
      </c>
      <c r="R265" s="302" t="str">
        <f>IF($H265="Monthly",$E265/12,IF($H265="Quarterly (From April)",$E265/4,IF($H265="Termly",$E265/3,IF($H265="Monthly (excl. August)",$E265/11,""))))</f>
        <v/>
      </c>
      <c r="S265" s="302" t="str">
        <f t="shared" si="192"/>
        <v/>
      </c>
      <c r="T265" s="302" t="str">
        <f t="shared" si="192"/>
        <v/>
      </c>
      <c r="U265" s="303">
        <f>E265</f>
        <v>0</v>
      </c>
      <c r="V265" s="214">
        <f>IF(ROUND(SUM(I265:T265),0)&gt;U265,1,IF(ROUND(SUM(I265:T265),0)&lt;U265,1,0))</f>
        <v>0</v>
      </c>
      <c r="W265" s="322">
        <f t="shared" si="177"/>
        <v>0</v>
      </c>
    </row>
    <row r="266" spans="1:23" x14ac:dyDescent="0.2">
      <c r="A266" s="1093"/>
      <c r="B266" s="160"/>
      <c r="C266" s="108"/>
      <c r="D266" s="95"/>
      <c r="E266" s="250"/>
      <c r="F266" s="251"/>
      <c r="H266" s="43" t="s">
        <v>267</v>
      </c>
      <c r="I266" s="302" t="str">
        <f>IF($H266="Monthly",$E266/12,IF($H266="Quarterly (From April)",$E266/4,IF($H266="Termly",$E266/3,IF($H266="Monthly (excl. August)",$E266/11,""))))</f>
        <v/>
      </c>
      <c r="J266" s="302" t="str">
        <f t="shared" si="190"/>
        <v/>
      </c>
      <c r="K266" s="302" t="str">
        <f t="shared" si="190"/>
        <v/>
      </c>
      <c r="L266" s="302" t="str">
        <f>IF($H266="Monthly",$E266/12,IF($H266="Quarterly (From April)",$E266/4,IF($H266="Termly",0,IF($H266="Monthly (excl. August)",$E266/11,""))))</f>
        <v/>
      </c>
      <c r="M266" s="302" t="str">
        <f>IF($H266="Monthly",$E266/12,IF($H266="Quarterly (From April)",0,IF($H266="Termly",0,IF($H266="Monthly (excl. August)",0,""))))</f>
        <v/>
      </c>
      <c r="N266" s="302" t="str">
        <f>IF($H266="Monthly",$E266/12,IF($H266="Quarterly (From April)",0,IF($H266="Termly",$E266/3,IF($H266="Monthly (excl. August)",$E266/11,""))))</f>
        <v/>
      </c>
      <c r="O266" s="302" t="str">
        <f>IF($H266="Monthly",$E266/12,IF($H266="Quarterly (From April)",$E266/4,IF($H266="Termly",0,IF($H266="Monthly (excl. August)",$E266/11,""))))</f>
        <v/>
      </c>
      <c r="P266" s="302" t="str">
        <f t="shared" si="191"/>
        <v/>
      </c>
      <c r="Q266" s="302" t="str">
        <f t="shared" si="191"/>
        <v/>
      </c>
      <c r="R266" s="302" t="str">
        <f>IF($H266="Monthly",$E266/12,IF($H266="Quarterly (From April)",$E266/4,IF($H266="Termly",$E266/3,IF($H266="Monthly (excl. August)",$E266/11,""))))</f>
        <v/>
      </c>
      <c r="S266" s="302" t="str">
        <f t="shared" si="192"/>
        <v/>
      </c>
      <c r="T266" s="302" t="str">
        <f t="shared" si="192"/>
        <v/>
      </c>
      <c r="U266" s="303">
        <f>E266</f>
        <v>0</v>
      </c>
      <c r="V266" s="214">
        <f>IF(ROUND(SUM(I266:T266),0)&gt;U266,1,IF(ROUND(SUM(I266:T266),0)&lt;U266,1,0))</f>
        <v>0</v>
      </c>
      <c r="W266" s="322">
        <f t="shared" si="177"/>
        <v>0</v>
      </c>
    </row>
    <row r="267" spans="1:23" ht="13.5" thickBot="1" x14ac:dyDescent="0.25">
      <c r="A267" s="1094"/>
      <c r="B267" s="161"/>
      <c r="C267" s="109"/>
      <c r="D267" s="100"/>
      <c r="E267" s="256"/>
      <c r="F267" s="257">
        <f>SUM(E264:E267)</f>
        <v>0</v>
      </c>
      <c r="H267" s="43" t="s">
        <v>267</v>
      </c>
      <c r="I267" s="302" t="str">
        <f>IF($H267="Monthly",$E267/12,IF($H267="Quarterly (From April)",$E267/4,IF($H267="Termly",$E267/3,IF($H267="Monthly (excl. August)",$E267/11,""))))</f>
        <v/>
      </c>
      <c r="J267" s="302" t="str">
        <f t="shared" si="190"/>
        <v/>
      </c>
      <c r="K267" s="302" t="str">
        <f t="shared" si="190"/>
        <v/>
      </c>
      <c r="L267" s="302" t="str">
        <f>IF($H267="Monthly",$E267/12,IF($H267="Quarterly (From April)",$E267/4,IF($H267="Termly",0,IF($H267="Monthly (excl. August)",$E267/11,""))))</f>
        <v/>
      </c>
      <c r="M267" s="302" t="str">
        <f>IF($H267="Monthly",$E267/12,IF($H267="Quarterly (From April)",0,IF($H267="Termly",0,IF($H267="Monthly (excl. August)",0,""))))</f>
        <v/>
      </c>
      <c r="N267" s="302" t="str">
        <f>IF($H267="Monthly",$E267/12,IF($H267="Quarterly (From April)",0,IF($H267="Termly",$E267/3,IF($H267="Monthly (excl. August)",$E267/11,""))))</f>
        <v/>
      </c>
      <c r="O267" s="302" t="str">
        <f>IF($H267="Monthly",$E267/12,IF($H267="Quarterly (From April)",$E267/4,IF($H267="Termly",0,IF($H267="Monthly (excl. August)",$E267/11,""))))</f>
        <v/>
      </c>
      <c r="P267" s="302" t="str">
        <f t="shared" si="191"/>
        <v/>
      </c>
      <c r="Q267" s="302" t="str">
        <f t="shared" si="191"/>
        <v/>
      </c>
      <c r="R267" s="302" t="str">
        <f>IF($H267="Monthly",$E267/12,IF($H267="Quarterly (From April)",$E267/4,IF($H267="Termly",$E267/3,IF($H267="Monthly (excl. August)",$E267/11,""))))</f>
        <v/>
      </c>
      <c r="S267" s="302" t="str">
        <f t="shared" si="192"/>
        <v/>
      </c>
      <c r="T267" s="302" t="str">
        <f t="shared" si="192"/>
        <v/>
      </c>
      <c r="U267" s="303">
        <f>E267</f>
        <v>0</v>
      </c>
      <c r="V267" s="214">
        <f>IF(ROUND(SUM(I267:T267),0)&gt;U267,1,IF(ROUND(SUM(I267:T267),0)&lt;U267,1,0))</f>
        <v>0</v>
      </c>
      <c r="W267" s="322">
        <f t="shared" si="177"/>
        <v>0</v>
      </c>
    </row>
    <row r="268" spans="1:23" ht="13.5" thickBot="1" x14ac:dyDescent="0.25">
      <c r="A268" s="41"/>
      <c r="B268" s="117"/>
      <c r="C268" s="101"/>
      <c r="D268" s="102"/>
      <c r="E268" s="259"/>
      <c r="F268" s="260"/>
      <c r="I268" s="306"/>
      <c r="J268" s="306"/>
      <c r="K268" s="306"/>
      <c r="L268" s="306"/>
      <c r="M268" s="306"/>
      <c r="N268" s="306"/>
      <c r="O268" s="306"/>
      <c r="P268" s="306"/>
      <c r="Q268" s="306"/>
      <c r="R268" s="306"/>
      <c r="S268" s="306"/>
      <c r="T268" s="306"/>
      <c r="U268" s="305"/>
      <c r="W268" s="322">
        <f t="shared" si="177"/>
        <v>0</v>
      </c>
    </row>
    <row r="269" spans="1:23" x14ac:dyDescent="0.2">
      <c r="A269" s="1098" t="s">
        <v>502</v>
      </c>
      <c r="B269" s="156">
        <v>2001</v>
      </c>
      <c r="C269" s="113" t="s">
        <v>503</v>
      </c>
      <c r="D269" s="93" t="s">
        <v>1049</v>
      </c>
      <c r="E269" s="246">
        <v>267</v>
      </c>
      <c r="F269" s="247"/>
      <c r="H269" s="43" t="s">
        <v>293</v>
      </c>
      <c r="I269" s="302">
        <f t="shared" ref="I269:I278" si="193">IF($H269="Monthly",$E269/12,IF($H269="Quarterly (From April)",$E269/4,IF($H269="Termly",$E269/3,IF($H269="Monthly (excl. August)",$E269/11,""))))</f>
        <v>89</v>
      </c>
      <c r="J269" s="302">
        <f t="shared" ref="J269:K278" si="194">IF($H269="Monthly",$E269/12,IF($H269="Quarterly (From April)",0,IF($H269="Termly",0,IF($H269="Monthly (excl. August)",$E269/11,""))))</f>
        <v>0</v>
      </c>
      <c r="K269" s="302">
        <f t="shared" si="194"/>
        <v>0</v>
      </c>
      <c r="L269" s="302">
        <f t="shared" ref="L269:L278" si="195">IF($H269="Monthly",$E269/12,IF($H269="Quarterly (From April)",$E269/4,IF($H269="Termly",0,IF($H269="Monthly (excl. August)",$E269/11,""))))</f>
        <v>0</v>
      </c>
      <c r="M269" s="302">
        <f t="shared" ref="M269:M278" si="196">IF($H269="Monthly",$E269/12,IF($H269="Quarterly (From April)",0,IF($H269="Termly",0,IF($H269="Monthly (excl. August)",0,""))))</f>
        <v>0</v>
      </c>
      <c r="N269" s="302">
        <f t="shared" ref="N269:N278" si="197">IF($H269="Monthly",$E269/12,IF($H269="Quarterly (From April)",0,IF($H269="Termly",$E269/3,IF($H269="Monthly (excl. August)",$E269/11,""))))</f>
        <v>89</v>
      </c>
      <c r="O269" s="302">
        <f t="shared" ref="O269:O278" si="198">IF($H269="Monthly",$E269/12,IF($H269="Quarterly (From April)",$E269/4,IF($H269="Termly",0,IF($H269="Monthly (excl. August)",$E269/11,""))))</f>
        <v>0</v>
      </c>
      <c r="P269" s="302">
        <f t="shared" ref="P269:Q278" si="199">IF($H269="Monthly",$E269/12,IF($H269="Quarterly (From April)",0,IF($H269="Termly",0,IF($H269="Monthly (excl. August)",$E269/11,""))))</f>
        <v>0</v>
      </c>
      <c r="Q269" s="302">
        <f t="shared" si="199"/>
        <v>0</v>
      </c>
      <c r="R269" s="302">
        <f t="shared" ref="R269:R278" si="200">IF($H269="Monthly",$E269/12,IF($H269="Quarterly (From April)",$E269/4,IF($H269="Termly",$E269/3,IF($H269="Monthly (excl. August)",$E269/11,""))))</f>
        <v>89</v>
      </c>
      <c r="S269" s="302">
        <f t="shared" ref="S269:T278" si="201">IF($H269="Monthly",$E269/12,IF($H269="Quarterly (From April)",0,IF($H269="Termly",0,IF($H269="Monthly (excl. August)",$E269/11,""))))</f>
        <v>0</v>
      </c>
      <c r="T269" s="302">
        <f t="shared" si="201"/>
        <v>0</v>
      </c>
      <c r="U269" s="303">
        <f t="shared" ref="U269:U278" si="202">E269</f>
        <v>267</v>
      </c>
      <c r="V269" s="214">
        <f t="shared" ref="V269:V278" si="203">IF(ROUND(SUM(I269:T269),0)&gt;U269,1,IF(ROUND(SUM(I269:T269),0)&lt;U269,1,0))</f>
        <v>0</v>
      </c>
      <c r="W269" s="322">
        <f t="shared" si="177"/>
        <v>0</v>
      </c>
    </row>
    <row r="270" spans="1:23" ht="38.25" x14ac:dyDescent="0.2">
      <c r="A270" s="1099"/>
      <c r="B270" s="157">
        <v>2002</v>
      </c>
      <c r="C270" s="108" t="s">
        <v>504</v>
      </c>
      <c r="D270" s="417" t="s">
        <v>1094</v>
      </c>
      <c r="E270" s="250">
        <v>3997</v>
      </c>
      <c r="F270" s="251"/>
      <c r="H270" s="43" t="s">
        <v>293</v>
      </c>
      <c r="I270" s="302">
        <f t="shared" si="193"/>
        <v>1332.3333333333333</v>
      </c>
      <c r="J270" s="302">
        <f t="shared" si="194"/>
        <v>0</v>
      </c>
      <c r="K270" s="302">
        <f t="shared" si="194"/>
        <v>0</v>
      </c>
      <c r="L270" s="302">
        <f t="shared" si="195"/>
        <v>0</v>
      </c>
      <c r="M270" s="302">
        <f t="shared" si="196"/>
        <v>0</v>
      </c>
      <c r="N270" s="302">
        <f t="shared" si="197"/>
        <v>1332.3333333333333</v>
      </c>
      <c r="O270" s="302">
        <f t="shared" si="198"/>
        <v>0</v>
      </c>
      <c r="P270" s="302">
        <f t="shared" si="199"/>
        <v>0</v>
      </c>
      <c r="Q270" s="302">
        <f t="shared" si="199"/>
        <v>0</v>
      </c>
      <c r="R270" s="302">
        <f t="shared" si="200"/>
        <v>1332.3333333333333</v>
      </c>
      <c r="S270" s="302">
        <f t="shared" si="201"/>
        <v>0</v>
      </c>
      <c r="T270" s="302">
        <f t="shared" si="201"/>
        <v>0</v>
      </c>
      <c r="U270" s="303">
        <f t="shared" si="202"/>
        <v>3997</v>
      </c>
      <c r="V270" s="214">
        <f t="shared" si="203"/>
        <v>0</v>
      </c>
      <c r="W270" s="322">
        <f t="shared" si="177"/>
        <v>0</v>
      </c>
    </row>
    <row r="271" spans="1:23" x14ac:dyDescent="0.2">
      <c r="A271" s="1099"/>
      <c r="B271" s="157">
        <v>4026</v>
      </c>
      <c r="C271" s="114" t="s">
        <v>661</v>
      </c>
      <c r="D271" s="95"/>
      <c r="E271" s="250"/>
      <c r="F271" s="251"/>
      <c r="H271" s="43" t="s">
        <v>267</v>
      </c>
      <c r="I271" s="302" t="str">
        <f t="shared" si="193"/>
        <v/>
      </c>
      <c r="J271" s="302" t="str">
        <f t="shared" si="194"/>
        <v/>
      </c>
      <c r="K271" s="302" t="str">
        <f t="shared" si="194"/>
        <v/>
      </c>
      <c r="L271" s="302" t="str">
        <f t="shared" si="195"/>
        <v/>
      </c>
      <c r="M271" s="302" t="str">
        <f t="shared" si="196"/>
        <v/>
      </c>
      <c r="N271" s="302" t="str">
        <f t="shared" si="197"/>
        <v/>
      </c>
      <c r="O271" s="302" t="str">
        <f t="shared" si="198"/>
        <v/>
      </c>
      <c r="P271" s="302" t="str">
        <f t="shared" si="199"/>
        <v/>
      </c>
      <c r="Q271" s="302" t="str">
        <f t="shared" si="199"/>
        <v/>
      </c>
      <c r="R271" s="302" t="str">
        <f t="shared" si="200"/>
        <v/>
      </c>
      <c r="S271" s="302" t="str">
        <f t="shared" si="201"/>
        <v/>
      </c>
      <c r="T271" s="302" t="str">
        <f t="shared" si="201"/>
        <v/>
      </c>
      <c r="U271" s="303">
        <f t="shared" si="202"/>
        <v>0</v>
      </c>
      <c r="V271" s="214">
        <f t="shared" si="203"/>
        <v>0</v>
      </c>
      <c r="W271" s="322">
        <f t="shared" si="177"/>
        <v>0</v>
      </c>
    </row>
    <row r="272" spans="1:23" x14ac:dyDescent="0.2">
      <c r="A272" s="1099"/>
      <c r="B272" s="157">
        <v>6811</v>
      </c>
      <c r="C272" s="108" t="s">
        <v>520</v>
      </c>
      <c r="D272" s="95"/>
      <c r="E272" s="250"/>
      <c r="F272" s="251"/>
      <c r="H272" s="43" t="s">
        <v>267</v>
      </c>
      <c r="I272" s="302" t="str">
        <f t="shared" si="193"/>
        <v/>
      </c>
      <c r="J272" s="302" t="str">
        <f t="shared" si="194"/>
        <v/>
      </c>
      <c r="K272" s="302" t="str">
        <f t="shared" si="194"/>
        <v/>
      </c>
      <c r="L272" s="302" t="str">
        <f t="shared" si="195"/>
        <v/>
      </c>
      <c r="M272" s="302" t="str">
        <f t="shared" si="196"/>
        <v/>
      </c>
      <c r="N272" s="302" t="str">
        <f t="shared" si="197"/>
        <v/>
      </c>
      <c r="O272" s="302" t="str">
        <f t="shared" si="198"/>
        <v/>
      </c>
      <c r="P272" s="302" t="str">
        <f t="shared" si="199"/>
        <v/>
      </c>
      <c r="Q272" s="302" t="str">
        <f t="shared" si="199"/>
        <v/>
      </c>
      <c r="R272" s="302" t="str">
        <f t="shared" si="200"/>
        <v/>
      </c>
      <c r="S272" s="302" t="str">
        <f t="shared" si="201"/>
        <v/>
      </c>
      <c r="T272" s="302" t="str">
        <f t="shared" si="201"/>
        <v/>
      </c>
      <c r="U272" s="303">
        <f t="shared" si="202"/>
        <v>0</v>
      </c>
      <c r="V272" s="214">
        <f t="shared" si="203"/>
        <v>0</v>
      </c>
      <c r="W272" s="322">
        <f t="shared" si="177"/>
        <v>0</v>
      </c>
    </row>
    <row r="273" spans="1:23" x14ac:dyDescent="0.2">
      <c r="A273" s="1099"/>
      <c r="B273" s="157">
        <v>4076</v>
      </c>
      <c r="C273" s="108" t="s">
        <v>754</v>
      </c>
      <c r="D273" s="95"/>
      <c r="E273" s="250"/>
      <c r="F273" s="251"/>
      <c r="H273" s="43" t="s">
        <v>267</v>
      </c>
      <c r="I273" s="302" t="str">
        <f t="shared" si="193"/>
        <v/>
      </c>
      <c r="J273" s="302" t="str">
        <f t="shared" si="194"/>
        <v/>
      </c>
      <c r="K273" s="302" t="str">
        <f t="shared" si="194"/>
        <v/>
      </c>
      <c r="L273" s="302" t="str">
        <f t="shared" si="195"/>
        <v/>
      </c>
      <c r="M273" s="302" t="str">
        <f t="shared" si="196"/>
        <v/>
      </c>
      <c r="N273" s="302" t="str">
        <f t="shared" si="197"/>
        <v/>
      </c>
      <c r="O273" s="302" t="str">
        <f t="shared" si="198"/>
        <v/>
      </c>
      <c r="P273" s="302" t="str">
        <f t="shared" si="199"/>
        <v/>
      </c>
      <c r="Q273" s="302" t="str">
        <f t="shared" si="199"/>
        <v/>
      </c>
      <c r="R273" s="302" t="str">
        <f t="shared" si="200"/>
        <v/>
      </c>
      <c r="S273" s="302" t="str">
        <f t="shared" si="201"/>
        <v/>
      </c>
      <c r="T273" s="302" t="str">
        <f t="shared" si="201"/>
        <v/>
      </c>
      <c r="U273" s="303">
        <f t="shared" si="202"/>
        <v>0</v>
      </c>
      <c r="V273" s="214">
        <f t="shared" si="203"/>
        <v>0</v>
      </c>
      <c r="W273" s="322">
        <f t="shared" si="177"/>
        <v>0</v>
      </c>
    </row>
    <row r="274" spans="1:23" x14ac:dyDescent="0.2">
      <c r="A274" s="1099"/>
      <c r="B274" s="157">
        <v>2047</v>
      </c>
      <c r="C274" s="108" t="s">
        <v>753</v>
      </c>
      <c r="D274" s="95"/>
      <c r="E274" s="250"/>
      <c r="F274" s="251"/>
      <c r="H274" s="43" t="s">
        <v>267</v>
      </c>
      <c r="I274" s="302" t="str">
        <f t="shared" si="193"/>
        <v/>
      </c>
      <c r="J274" s="302" t="str">
        <f t="shared" si="194"/>
        <v/>
      </c>
      <c r="K274" s="302" t="str">
        <f t="shared" si="194"/>
        <v/>
      </c>
      <c r="L274" s="302" t="str">
        <f t="shared" si="195"/>
        <v/>
      </c>
      <c r="M274" s="302" t="str">
        <f t="shared" si="196"/>
        <v/>
      </c>
      <c r="N274" s="302" t="str">
        <f t="shared" si="197"/>
        <v/>
      </c>
      <c r="O274" s="302" t="str">
        <f t="shared" si="198"/>
        <v/>
      </c>
      <c r="P274" s="302" t="str">
        <f t="shared" si="199"/>
        <v/>
      </c>
      <c r="Q274" s="302" t="str">
        <f t="shared" si="199"/>
        <v/>
      </c>
      <c r="R274" s="302" t="str">
        <f t="shared" si="200"/>
        <v/>
      </c>
      <c r="S274" s="302" t="str">
        <f t="shared" si="201"/>
        <v/>
      </c>
      <c r="T274" s="302" t="str">
        <f t="shared" si="201"/>
        <v/>
      </c>
      <c r="U274" s="303">
        <f t="shared" si="202"/>
        <v>0</v>
      </c>
      <c r="V274" s="214">
        <f t="shared" si="203"/>
        <v>0</v>
      </c>
      <c r="W274" s="322">
        <f t="shared" si="177"/>
        <v>0</v>
      </c>
    </row>
    <row r="275" spans="1:23" x14ac:dyDescent="0.2">
      <c r="A275" s="1099"/>
      <c r="B275" s="157"/>
      <c r="C275" s="108"/>
      <c r="D275" s="95"/>
      <c r="E275" s="250"/>
      <c r="F275" s="251"/>
      <c r="H275" s="43" t="s">
        <v>267</v>
      </c>
      <c r="I275" s="302" t="str">
        <f t="shared" si="193"/>
        <v/>
      </c>
      <c r="J275" s="302" t="str">
        <f t="shared" si="194"/>
        <v/>
      </c>
      <c r="K275" s="302" t="str">
        <f t="shared" si="194"/>
        <v/>
      </c>
      <c r="L275" s="302" t="str">
        <f t="shared" si="195"/>
        <v/>
      </c>
      <c r="M275" s="302" t="str">
        <f t="shared" si="196"/>
        <v/>
      </c>
      <c r="N275" s="302" t="str">
        <f t="shared" si="197"/>
        <v/>
      </c>
      <c r="O275" s="302" t="str">
        <f t="shared" si="198"/>
        <v/>
      </c>
      <c r="P275" s="302" t="str">
        <f t="shared" si="199"/>
        <v/>
      </c>
      <c r="Q275" s="302" t="str">
        <f t="shared" si="199"/>
        <v/>
      </c>
      <c r="R275" s="302" t="str">
        <f t="shared" si="200"/>
        <v/>
      </c>
      <c r="S275" s="302" t="str">
        <f t="shared" si="201"/>
        <v/>
      </c>
      <c r="T275" s="302" t="str">
        <f t="shared" si="201"/>
        <v/>
      </c>
      <c r="U275" s="303">
        <f t="shared" si="202"/>
        <v>0</v>
      </c>
      <c r="V275" s="214">
        <f t="shared" si="203"/>
        <v>0</v>
      </c>
      <c r="W275" s="322">
        <f t="shared" si="177"/>
        <v>0</v>
      </c>
    </row>
    <row r="276" spans="1:23" x14ac:dyDescent="0.2">
      <c r="A276" s="1099"/>
      <c r="B276" s="157"/>
      <c r="C276" s="108"/>
      <c r="D276" s="95"/>
      <c r="E276" s="250"/>
      <c r="F276" s="251"/>
      <c r="H276" s="43" t="s">
        <v>267</v>
      </c>
      <c r="I276" s="302" t="str">
        <f t="shared" si="193"/>
        <v/>
      </c>
      <c r="J276" s="302" t="str">
        <f t="shared" si="194"/>
        <v/>
      </c>
      <c r="K276" s="302" t="str">
        <f t="shared" si="194"/>
        <v/>
      </c>
      <c r="L276" s="302" t="str">
        <f t="shared" si="195"/>
        <v/>
      </c>
      <c r="M276" s="302" t="str">
        <f t="shared" si="196"/>
        <v/>
      </c>
      <c r="N276" s="302" t="str">
        <f t="shared" si="197"/>
        <v/>
      </c>
      <c r="O276" s="302" t="str">
        <f t="shared" si="198"/>
        <v/>
      </c>
      <c r="P276" s="302" t="str">
        <f t="shared" si="199"/>
        <v/>
      </c>
      <c r="Q276" s="302" t="str">
        <f t="shared" si="199"/>
        <v/>
      </c>
      <c r="R276" s="302" t="str">
        <f t="shared" si="200"/>
        <v/>
      </c>
      <c r="S276" s="302" t="str">
        <f t="shared" si="201"/>
        <v/>
      </c>
      <c r="T276" s="302" t="str">
        <f t="shared" si="201"/>
        <v/>
      </c>
      <c r="U276" s="303">
        <f t="shared" si="202"/>
        <v>0</v>
      </c>
      <c r="V276" s="214">
        <f t="shared" si="203"/>
        <v>0</v>
      </c>
      <c r="W276" s="322">
        <f t="shared" si="177"/>
        <v>0</v>
      </c>
    </row>
    <row r="277" spans="1:23" x14ac:dyDescent="0.2">
      <c r="A277" s="1099"/>
      <c r="B277" s="157"/>
      <c r="C277" s="108"/>
      <c r="D277" s="95"/>
      <c r="E277" s="250"/>
      <c r="F277" s="251"/>
      <c r="H277" s="43" t="s">
        <v>267</v>
      </c>
      <c r="I277" s="302" t="str">
        <f t="shared" si="193"/>
        <v/>
      </c>
      <c r="J277" s="302" t="str">
        <f t="shared" si="194"/>
        <v/>
      </c>
      <c r="K277" s="302" t="str">
        <f t="shared" si="194"/>
        <v/>
      </c>
      <c r="L277" s="302" t="str">
        <f t="shared" si="195"/>
        <v/>
      </c>
      <c r="M277" s="302" t="str">
        <f t="shared" si="196"/>
        <v/>
      </c>
      <c r="N277" s="302" t="str">
        <f t="shared" si="197"/>
        <v/>
      </c>
      <c r="O277" s="302" t="str">
        <f t="shared" si="198"/>
        <v/>
      </c>
      <c r="P277" s="302" t="str">
        <f t="shared" si="199"/>
        <v/>
      </c>
      <c r="Q277" s="302" t="str">
        <f t="shared" si="199"/>
        <v/>
      </c>
      <c r="R277" s="302" t="str">
        <f t="shared" si="200"/>
        <v/>
      </c>
      <c r="S277" s="302" t="str">
        <f t="shared" si="201"/>
        <v/>
      </c>
      <c r="T277" s="302" t="str">
        <f t="shared" si="201"/>
        <v/>
      </c>
      <c r="U277" s="303">
        <f t="shared" si="202"/>
        <v>0</v>
      </c>
      <c r="V277" s="214">
        <f t="shared" si="203"/>
        <v>0</v>
      </c>
      <c r="W277" s="322">
        <f t="shared" si="177"/>
        <v>0</v>
      </c>
    </row>
    <row r="278" spans="1:23" ht="13.5" thickBot="1" x14ac:dyDescent="0.25">
      <c r="A278" s="1100"/>
      <c r="B278" s="158"/>
      <c r="C278" s="109"/>
      <c r="D278" s="100"/>
      <c r="E278" s="256"/>
      <c r="F278" s="257">
        <f>SUM(E269:E278)</f>
        <v>4264</v>
      </c>
      <c r="H278" s="43" t="s">
        <v>267</v>
      </c>
      <c r="I278" s="302" t="str">
        <f t="shared" si="193"/>
        <v/>
      </c>
      <c r="J278" s="302" t="str">
        <f t="shared" si="194"/>
        <v/>
      </c>
      <c r="K278" s="302" t="str">
        <f t="shared" si="194"/>
        <v/>
      </c>
      <c r="L278" s="302" t="str">
        <f t="shared" si="195"/>
        <v/>
      </c>
      <c r="M278" s="302" t="str">
        <f t="shared" si="196"/>
        <v/>
      </c>
      <c r="N278" s="302" t="str">
        <f t="shared" si="197"/>
        <v/>
      </c>
      <c r="O278" s="302" t="str">
        <f t="shared" si="198"/>
        <v/>
      </c>
      <c r="P278" s="302" t="str">
        <f t="shared" si="199"/>
        <v/>
      </c>
      <c r="Q278" s="302" t="str">
        <f t="shared" si="199"/>
        <v/>
      </c>
      <c r="R278" s="302" t="str">
        <f t="shared" si="200"/>
        <v/>
      </c>
      <c r="S278" s="302" t="str">
        <f t="shared" si="201"/>
        <v/>
      </c>
      <c r="T278" s="302" t="str">
        <f t="shared" si="201"/>
        <v/>
      </c>
      <c r="U278" s="303">
        <f t="shared" si="202"/>
        <v>0</v>
      </c>
      <c r="V278" s="214">
        <f t="shared" si="203"/>
        <v>0</v>
      </c>
      <c r="W278" s="322">
        <f t="shared" si="177"/>
        <v>0</v>
      </c>
    </row>
    <row r="279" spans="1:23" ht="13.5" thickBot="1" x14ac:dyDescent="0.25">
      <c r="A279" s="41"/>
      <c r="B279" s="117"/>
      <c r="C279" s="101"/>
      <c r="D279" s="102"/>
      <c r="E279" s="259"/>
      <c r="F279" s="260"/>
      <c r="I279" s="306"/>
      <c r="J279" s="306"/>
      <c r="K279" s="306"/>
      <c r="L279" s="306"/>
      <c r="M279" s="306"/>
      <c r="N279" s="306"/>
      <c r="O279" s="306"/>
      <c r="P279" s="306"/>
      <c r="Q279" s="306"/>
      <c r="R279" s="306"/>
      <c r="S279" s="306"/>
      <c r="T279" s="306"/>
      <c r="U279" s="305"/>
      <c r="W279" s="322">
        <f t="shared" si="177"/>
        <v>0</v>
      </c>
    </row>
    <row r="280" spans="1:23" x14ac:dyDescent="0.2">
      <c r="A280" s="1106" t="s">
        <v>694</v>
      </c>
      <c r="B280" s="156">
        <v>2911</v>
      </c>
      <c r="C280" s="113" t="s">
        <v>657</v>
      </c>
      <c r="D280" s="93"/>
      <c r="E280" s="246"/>
      <c r="F280" s="247"/>
      <c r="H280" s="43" t="s">
        <v>267</v>
      </c>
      <c r="I280" s="302" t="str">
        <f>IF($H280="Monthly",$E280/12,IF($H280="Quarterly (From April)",$E280/4,IF($H280="Termly",$E280/3,IF($H280="Monthly (excl. August)",$E280/11,""))))</f>
        <v/>
      </c>
      <c r="J280" s="302" t="str">
        <f t="shared" ref="J280:K283" si="204">IF($H280="Monthly",$E280/12,IF($H280="Quarterly (From April)",0,IF($H280="Termly",0,IF($H280="Monthly (excl. August)",$E280/11,""))))</f>
        <v/>
      </c>
      <c r="K280" s="302" t="str">
        <f t="shared" si="204"/>
        <v/>
      </c>
      <c r="L280" s="302" t="str">
        <f>IF($H280="Monthly",$E280/12,IF($H280="Quarterly (From April)",$E280/4,IF($H280="Termly",0,IF($H280="Monthly (excl. August)",$E280/11,""))))</f>
        <v/>
      </c>
      <c r="M280" s="302" t="str">
        <f>IF($H280="Monthly",$E280/12,IF($H280="Quarterly (From April)",0,IF($H280="Termly",0,IF($H280="Monthly (excl. August)",0,""))))</f>
        <v/>
      </c>
      <c r="N280" s="302" t="str">
        <f>IF($H280="Monthly",$E280/12,IF($H280="Quarterly (From April)",0,IF($H280="Termly",$E280/3,IF($H280="Monthly (excl. August)",$E280/11,""))))</f>
        <v/>
      </c>
      <c r="O280" s="302" t="str">
        <f>IF($H280="Monthly",$E280/12,IF($H280="Quarterly (From April)",$E280/4,IF($H280="Termly",0,IF($H280="Monthly (excl. August)",$E280/11,""))))</f>
        <v/>
      </c>
      <c r="P280" s="302" t="str">
        <f t="shared" ref="P280:Q283" si="205">IF($H280="Monthly",$E280/12,IF($H280="Quarterly (From April)",0,IF($H280="Termly",0,IF($H280="Monthly (excl. August)",$E280/11,""))))</f>
        <v/>
      </c>
      <c r="Q280" s="302" t="str">
        <f t="shared" si="205"/>
        <v/>
      </c>
      <c r="R280" s="302" t="str">
        <f>IF($H280="Monthly",$E280/12,IF($H280="Quarterly (From April)",$E280/4,IF($H280="Termly",$E280/3,IF($H280="Monthly (excl. August)",$E280/11,""))))</f>
        <v/>
      </c>
      <c r="S280" s="302" t="str">
        <f t="shared" ref="S280:T283" si="206">IF($H280="Monthly",$E280/12,IF($H280="Quarterly (From April)",0,IF($H280="Termly",0,IF($H280="Monthly (excl. August)",$E280/11,""))))</f>
        <v/>
      </c>
      <c r="T280" s="302" t="str">
        <f t="shared" si="206"/>
        <v/>
      </c>
      <c r="U280" s="303">
        <f>E280</f>
        <v>0</v>
      </c>
      <c r="V280" s="214">
        <f>IF(ROUND(SUM(I280:T280),0)&gt;U280,1,IF(ROUND(SUM(I280:T280),0)&lt;U280,1,0))</f>
        <v>0</v>
      </c>
      <c r="W280" s="322">
        <f t="shared" si="177"/>
        <v>0</v>
      </c>
    </row>
    <row r="281" spans="1:23" x14ac:dyDescent="0.2">
      <c r="A281" s="1107"/>
      <c r="B281" s="160"/>
      <c r="C281" s="108"/>
      <c r="D281" s="95"/>
      <c r="E281" s="250"/>
      <c r="F281" s="251"/>
      <c r="H281" s="43" t="s">
        <v>267</v>
      </c>
      <c r="I281" s="302" t="str">
        <f>IF($H281="Monthly",$E281/12,IF($H281="Quarterly (From April)",$E281/4,IF($H281="Termly",$E281/3,IF($H281="Monthly (excl. August)",$E281/11,""))))</f>
        <v/>
      </c>
      <c r="J281" s="302" t="str">
        <f t="shared" si="204"/>
        <v/>
      </c>
      <c r="K281" s="302" t="str">
        <f t="shared" si="204"/>
        <v/>
      </c>
      <c r="L281" s="302" t="str">
        <f>IF($H281="Monthly",$E281/12,IF($H281="Quarterly (From April)",$E281/4,IF($H281="Termly",0,IF($H281="Monthly (excl. August)",$E281/11,""))))</f>
        <v/>
      </c>
      <c r="M281" s="302" t="str">
        <f>IF($H281="Monthly",$E281/12,IF($H281="Quarterly (From April)",0,IF($H281="Termly",0,IF($H281="Monthly (excl. August)",0,""))))</f>
        <v/>
      </c>
      <c r="N281" s="302" t="str">
        <f>IF($H281="Monthly",$E281/12,IF($H281="Quarterly (From April)",0,IF($H281="Termly",$E281/3,IF($H281="Monthly (excl. August)",$E281/11,""))))</f>
        <v/>
      </c>
      <c r="O281" s="302" t="str">
        <f>IF($H281="Monthly",$E281/12,IF($H281="Quarterly (From April)",$E281/4,IF($H281="Termly",0,IF($H281="Monthly (excl. August)",$E281/11,""))))</f>
        <v/>
      </c>
      <c r="P281" s="302" t="str">
        <f t="shared" si="205"/>
        <v/>
      </c>
      <c r="Q281" s="302" t="str">
        <f t="shared" si="205"/>
        <v/>
      </c>
      <c r="R281" s="302" t="str">
        <f>IF($H281="Monthly",$E281/12,IF($H281="Quarterly (From April)",$E281/4,IF($H281="Termly",$E281/3,IF($H281="Monthly (excl. August)",$E281/11,""))))</f>
        <v/>
      </c>
      <c r="S281" s="302" t="str">
        <f t="shared" si="206"/>
        <v/>
      </c>
      <c r="T281" s="302" t="str">
        <f t="shared" si="206"/>
        <v/>
      </c>
      <c r="U281" s="303">
        <f>E281</f>
        <v>0</v>
      </c>
      <c r="V281" s="214">
        <f>IF(ROUND(SUM(I281:T281),0)&gt;U281,1,IF(ROUND(SUM(I281:T281),0)&lt;U281,1,0))</f>
        <v>0</v>
      </c>
      <c r="W281" s="322">
        <f t="shared" si="177"/>
        <v>0</v>
      </c>
    </row>
    <row r="282" spans="1:23" x14ac:dyDescent="0.2">
      <c r="A282" s="1107"/>
      <c r="B282" s="160"/>
      <c r="C282" s="108"/>
      <c r="D282" s="95"/>
      <c r="E282" s="250"/>
      <c r="F282" s="251"/>
      <c r="H282" s="43" t="s">
        <v>267</v>
      </c>
      <c r="I282" s="302" t="str">
        <f>IF($H282="Monthly",$E282/12,IF($H282="Quarterly (From April)",$E282/4,IF($H282="Termly",$E282/3,IF($H282="Monthly (excl. August)",$E282/11,""))))</f>
        <v/>
      </c>
      <c r="J282" s="302" t="str">
        <f t="shared" si="204"/>
        <v/>
      </c>
      <c r="K282" s="302" t="str">
        <f t="shared" si="204"/>
        <v/>
      </c>
      <c r="L282" s="302" t="str">
        <f>IF($H282="Monthly",$E282/12,IF($H282="Quarterly (From April)",$E282/4,IF($H282="Termly",0,IF($H282="Monthly (excl. August)",$E282/11,""))))</f>
        <v/>
      </c>
      <c r="M282" s="302" t="str">
        <f>IF($H282="Monthly",$E282/12,IF($H282="Quarterly (From April)",0,IF($H282="Termly",0,IF($H282="Monthly (excl. August)",0,""))))</f>
        <v/>
      </c>
      <c r="N282" s="302" t="str">
        <f>IF($H282="Monthly",$E282/12,IF($H282="Quarterly (From April)",0,IF($H282="Termly",$E282/3,IF($H282="Monthly (excl. August)",$E282/11,""))))</f>
        <v/>
      </c>
      <c r="O282" s="302" t="str">
        <f>IF($H282="Monthly",$E282/12,IF($H282="Quarterly (From April)",$E282/4,IF($H282="Termly",0,IF($H282="Monthly (excl. August)",$E282/11,""))))</f>
        <v/>
      </c>
      <c r="P282" s="302" t="str">
        <f t="shared" si="205"/>
        <v/>
      </c>
      <c r="Q282" s="302" t="str">
        <f t="shared" si="205"/>
        <v/>
      </c>
      <c r="R282" s="302" t="str">
        <f>IF($H282="Monthly",$E282/12,IF($H282="Quarterly (From April)",$E282/4,IF($H282="Termly",$E282/3,IF($H282="Monthly (excl. August)",$E282/11,""))))</f>
        <v/>
      </c>
      <c r="S282" s="302" t="str">
        <f t="shared" si="206"/>
        <v/>
      </c>
      <c r="T282" s="302" t="str">
        <f t="shared" si="206"/>
        <v/>
      </c>
      <c r="U282" s="303">
        <f>E282</f>
        <v>0</v>
      </c>
      <c r="V282" s="214">
        <f>IF(ROUND(SUM(I282:T282),0)&gt;U282,1,IF(ROUND(SUM(I282:T282),0)&lt;U282,1,0))</f>
        <v>0</v>
      </c>
      <c r="W282" s="322">
        <f t="shared" si="177"/>
        <v>0</v>
      </c>
    </row>
    <row r="283" spans="1:23" ht="13.5" thickBot="1" x14ac:dyDescent="0.25">
      <c r="A283" s="1108"/>
      <c r="B283" s="161"/>
      <c r="C283" s="109"/>
      <c r="D283" s="100"/>
      <c r="E283" s="256"/>
      <c r="F283" s="257">
        <f>SUM(E280:E283)</f>
        <v>0</v>
      </c>
      <c r="H283" s="43" t="s">
        <v>267</v>
      </c>
      <c r="I283" s="302" t="str">
        <f>IF($H283="Monthly",$E283/12,IF($H283="Quarterly (From April)",$E283/4,IF($H283="Termly",$E283/3,IF($H283="Monthly (excl. August)",$E283/11,""))))</f>
        <v/>
      </c>
      <c r="J283" s="302" t="str">
        <f t="shared" si="204"/>
        <v/>
      </c>
      <c r="K283" s="302" t="str">
        <f t="shared" si="204"/>
        <v/>
      </c>
      <c r="L283" s="302" t="str">
        <f>IF($H283="Monthly",$E283/12,IF($H283="Quarterly (From April)",$E283/4,IF($H283="Termly",0,IF($H283="Monthly (excl. August)",$E283/11,""))))</f>
        <v/>
      </c>
      <c r="M283" s="302" t="str">
        <f>IF($H283="Monthly",$E283/12,IF($H283="Quarterly (From April)",0,IF($H283="Termly",0,IF($H283="Monthly (excl. August)",0,""))))</f>
        <v/>
      </c>
      <c r="N283" s="302" t="str">
        <f>IF($H283="Monthly",$E283/12,IF($H283="Quarterly (From April)",0,IF($H283="Termly",$E283/3,IF($H283="Monthly (excl. August)",$E283/11,""))))</f>
        <v/>
      </c>
      <c r="O283" s="302" t="str">
        <f>IF($H283="Monthly",$E283/12,IF($H283="Quarterly (From April)",$E283/4,IF($H283="Termly",0,IF($H283="Monthly (excl. August)",$E283/11,""))))</f>
        <v/>
      </c>
      <c r="P283" s="302" t="str">
        <f t="shared" si="205"/>
        <v/>
      </c>
      <c r="Q283" s="302" t="str">
        <f t="shared" si="205"/>
        <v/>
      </c>
      <c r="R283" s="302" t="str">
        <f>IF($H283="Monthly",$E283/12,IF($H283="Quarterly (From April)",$E283/4,IF($H283="Termly",$E283/3,IF($H283="Monthly (excl. August)",$E283/11,""))))</f>
        <v/>
      </c>
      <c r="S283" s="302" t="str">
        <f t="shared" si="206"/>
        <v/>
      </c>
      <c r="T283" s="302" t="str">
        <f t="shared" si="206"/>
        <v/>
      </c>
      <c r="U283" s="303">
        <f>E283</f>
        <v>0</v>
      </c>
      <c r="V283" s="214">
        <f>IF(ROUND(SUM(I283:T283),0)&gt;U283,1,IF(ROUND(SUM(I283:T283),0)&lt;U283,1,0))</f>
        <v>0</v>
      </c>
      <c r="W283" s="322">
        <f t="shared" si="177"/>
        <v>0</v>
      </c>
    </row>
    <row r="284" spans="1:23" ht="13.5" thickBot="1" x14ac:dyDescent="0.25">
      <c r="A284" s="45"/>
      <c r="B284" s="119"/>
      <c r="C284" s="111"/>
      <c r="D284" s="107"/>
      <c r="E284" s="267"/>
      <c r="F284" s="270"/>
      <c r="I284" s="306"/>
      <c r="J284" s="306"/>
      <c r="K284" s="306"/>
      <c r="L284" s="306"/>
      <c r="M284" s="306"/>
      <c r="N284" s="306"/>
      <c r="O284" s="306"/>
      <c r="P284" s="306"/>
      <c r="Q284" s="306"/>
      <c r="R284" s="306"/>
      <c r="S284" s="306"/>
      <c r="T284" s="306"/>
      <c r="U284" s="305"/>
      <c r="W284" s="322">
        <f t="shared" si="177"/>
        <v>0</v>
      </c>
    </row>
    <row r="285" spans="1:23" ht="12.75" customHeight="1" x14ac:dyDescent="0.2">
      <c r="A285" s="1092" t="s">
        <v>1050</v>
      </c>
      <c r="B285" s="170">
        <v>2977</v>
      </c>
      <c r="C285" s="113" t="s">
        <v>1051</v>
      </c>
      <c r="D285" s="1005" t="s">
        <v>1082</v>
      </c>
      <c r="E285" s="246">
        <v>960</v>
      </c>
      <c r="F285" s="247"/>
      <c r="H285" s="43" t="s">
        <v>293</v>
      </c>
      <c r="I285" s="302">
        <f>IF($H285="Monthly",$E285/12,IF($H285="Quarterly (From April)",$E285/4,IF($H285="Termly",$E285/3,IF($H285="Monthly (excl. August)",$E285/11,""))))</f>
        <v>320</v>
      </c>
      <c r="J285" s="302">
        <f t="shared" ref="J285:K288" si="207">IF($H285="Monthly",$E285/12,IF($H285="Quarterly (From April)",0,IF($H285="Termly",0,IF($H285="Monthly (excl. August)",$E285/11,""))))</f>
        <v>0</v>
      </c>
      <c r="K285" s="302">
        <f t="shared" si="207"/>
        <v>0</v>
      </c>
      <c r="L285" s="302">
        <f>IF($H285="Monthly",$E285/12,IF($H285="Quarterly (From April)",$E285/4,IF($H285="Termly",0,IF($H285="Monthly (excl. August)",$E285/11,""))))</f>
        <v>0</v>
      </c>
      <c r="M285" s="302">
        <f>IF($H285="Monthly",$E285/12,IF($H285="Quarterly (From April)",0,IF($H285="Termly",0,IF($H285="Monthly (excl. August)",0,""))))</f>
        <v>0</v>
      </c>
      <c r="N285" s="302">
        <f>IF($H285="Monthly",$E285/12,IF($H285="Quarterly (From April)",0,IF($H285="Termly",$E285/3,IF($H285="Monthly (excl. August)",$E285/11,""))))</f>
        <v>320</v>
      </c>
      <c r="O285" s="302">
        <f>IF($H285="Monthly",$E285/12,IF($H285="Quarterly (From April)",$E285/4,IF($H285="Termly",0,IF($H285="Monthly (excl. August)",$E285/11,""))))</f>
        <v>0</v>
      </c>
      <c r="P285" s="302">
        <f t="shared" ref="P285:Q288" si="208">IF($H285="Monthly",$E285/12,IF($H285="Quarterly (From April)",0,IF($H285="Termly",0,IF($H285="Monthly (excl. August)",$E285/11,""))))</f>
        <v>0</v>
      </c>
      <c r="Q285" s="302">
        <f t="shared" si="208"/>
        <v>0</v>
      </c>
      <c r="R285" s="302">
        <f>IF($H285="Monthly",$E285/12,IF($H285="Quarterly (From April)",$E285/4,IF($H285="Termly",$E285/3,IF($H285="Monthly (excl. August)",$E285/11,""))))</f>
        <v>320</v>
      </c>
      <c r="S285" s="302">
        <f t="shared" ref="S285:T288" si="209">IF($H285="Monthly",$E285/12,IF($H285="Quarterly (From April)",0,IF($H285="Termly",0,IF($H285="Monthly (excl. August)",$E285/11,""))))</f>
        <v>0</v>
      </c>
      <c r="T285" s="302">
        <f t="shared" si="209"/>
        <v>0</v>
      </c>
      <c r="U285" s="303">
        <f>E285</f>
        <v>960</v>
      </c>
      <c r="V285" s="214">
        <f>IF(ROUND(SUM(I285:T285),0)&gt;U285,1,IF(ROUND(SUM(I285:T285),0)&lt;U285,1,0))</f>
        <v>0</v>
      </c>
      <c r="W285" s="322">
        <f t="shared" si="177"/>
        <v>0</v>
      </c>
    </row>
    <row r="286" spans="1:23" x14ac:dyDescent="0.2">
      <c r="A286" s="1093"/>
      <c r="B286" s="160"/>
      <c r="C286" s="108"/>
      <c r="D286" s="95"/>
      <c r="E286" s="250"/>
      <c r="F286" s="251"/>
      <c r="H286" s="43" t="s">
        <v>267</v>
      </c>
      <c r="I286" s="302" t="str">
        <f>IF($H286="Monthly",$E286/12,IF($H286="Quarterly (From April)",$E286/4,IF($H286="Termly",$E286/3,IF($H286="Monthly (excl. August)",$E286/11,""))))</f>
        <v/>
      </c>
      <c r="J286" s="302" t="str">
        <f t="shared" si="207"/>
        <v/>
      </c>
      <c r="K286" s="302" t="str">
        <f t="shared" si="207"/>
        <v/>
      </c>
      <c r="L286" s="302" t="str">
        <f>IF($H286="Monthly",$E286/12,IF($H286="Quarterly (From April)",$E286/4,IF($H286="Termly",0,IF($H286="Monthly (excl. August)",$E286/11,""))))</f>
        <v/>
      </c>
      <c r="M286" s="302" t="str">
        <f>IF($H286="Monthly",$E286/12,IF($H286="Quarterly (From April)",0,IF($H286="Termly",0,IF($H286="Monthly (excl. August)",0,""))))</f>
        <v/>
      </c>
      <c r="N286" s="302" t="str">
        <f>IF($H286="Monthly",$E286/12,IF($H286="Quarterly (From April)",0,IF($H286="Termly",$E286/3,IF($H286="Monthly (excl. August)",$E286/11,""))))</f>
        <v/>
      </c>
      <c r="O286" s="302" t="str">
        <f>IF($H286="Monthly",$E286/12,IF($H286="Quarterly (From April)",$E286/4,IF($H286="Termly",0,IF($H286="Monthly (excl. August)",$E286/11,""))))</f>
        <v/>
      </c>
      <c r="P286" s="302" t="str">
        <f t="shared" si="208"/>
        <v/>
      </c>
      <c r="Q286" s="302" t="str">
        <f t="shared" si="208"/>
        <v/>
      </c>
      <c r="R286" s="302" t="str">
        <f>IF($H286="Monthly",$E286/12,IF($H286="Quarterly (From April)",$E286/4,IF($H286="Termly",$E286/3,IF($H286="Monthly (excl. August)",$E286/11,""))))</f>
        <v/>
      </c>
      <c r="S286" s="302" t="str">
        <f t="shared" si="209"/>
        <v/>
      </c>
      <c r="T286" s="302" t="str">
        <f t="shared" si="209"/>
        <v/>
      </c>
      <c r="U286" s="303">
        <f>E286</f>
        <v>0</v>
      </c>
      <c r="V286" s="214">
        <f>IF(ROUND(SUM(I286:T286),0)&gt;U286,1,IF(ROUND(SUM(I286:T286),0)&lt;U286,1,0))</f>
        <v>0</v>
      </c>
      <c r="W286" s="322">
        <f t="shared" si="177"/>
        <v>0</v>
      </c>
    </row>
    <row r="287" spans="1:23" x14ac:dyDescent="0.2">
      <c r="A287" s="1093"/>
      <c r="B287" s="160"/>
      <c r="C287" s="108"/>
      <c r="D287" s="95"/>
      <c r="E287" s="250"/>
      <c r="F287" s="251"/>
      <c r="H287" s="43" t="s">
        <v>267</v>
      </c>
      <c r="I287" s="302" t="str">
        <f>IF($H287="Monthly",$E287/12,IF($H287="Quarterly (From April)",$E287/4,IF($H287="Termly",$E287/3,IF($H287="Monthly (excl. August)",$E287/11,""))))</f>
        <v/>
      </c>
      <c r="J287" s="302" t="str">
        <f t="shared" si="207"/>
        <v/>
      </c>
      <c r="K287" s="302" t="str">
        <f t="shared" si="207"/>
        <v/>
      </c>
      <c r="L287" s="302" t="str">
        <f>IF($H287="Monthly",$E287/12,IF($H287="Quarterly (From April)",$E287/4,IF($H287="Termly",0,IF($H287="Monthly (excl. August)",$E287/11,""))))</f>
        <v/>
      </c>
      <c r="M287" s="302" t="str">
        <f>IF($H287="Monthly",$E287/12,IF($H287="Quarterly (From April)",0,IF($H287="Termly",0,IF($H287="Monthly (excl. August)",0,""))))</f>
        <v/>
      </c>
      <c r="N287" s="302" t="str">
        <f>IF($H287="Monthly",$E287/12,IF($H287="Quarterly (From April)",0,IF($H287="Termly",$E287/3,IF($H287="Monthly (excl. August)",$E287/11,""))))</f>
        <v/>
      </c>
      <c r="O287" s="302" t="str">
        <f>IF($H287="Monthly",$E287/12,IF($H287="Quarterly (From April)",$E287/4,IF($H287="Termly",0,IF($H287="Monthly (excl. August)",$E287/11,""))))</f>
        <v/>
      </c>
      <c r="P287" s="302" t="str">
        <f t="shared" si="208"/>
        <v/>
      </c>
      <c r="Q287" s="302" t="str">
        <f t="shared" si="208"/>
        <v/>
      </c>
      <c r="R287" s="302" t="str">
        <f>IF($H287="Monthly",$E287/12,IF($H287="Quarterly (From April)",$E287/4,IF($H287="Termly",$E287/3,IF($H287="Monthly (excl. August)",$E287/11,""))))</f>
        <v/>
      </c>
      <c r="S287" s="302" t="str">
        <f t="shared" si="209"/>
        <v/>
      </c>
      <c r="T287" s="302" t="str">
        <f t="shared" si="209"/>
        <v/>
      </c>
      <c r="U287" s="303">
        <f>E287</f>
        <v>0</v>
      </c>
      <c r="V287" s="214">
        <f>IF(ROUND(SUM(I287:T287),0)&gt;U287,1,IF(ROUND(SUM(I287:T287),0)&lt;U287,1,0))</f>
        <v>0</v>
      </c>
      <c r="W287" s="322">
        <f t="shared" si="177"/>
        <v>0</v>
      </c>
    </row>
    <row r="288" spans="1:23" ht="13.5" thickBot="1" x14ac:dyDescent="0.25">
      <c r="A288" s="1094"/>
      <c r="B288" s="161"/>
      <c r="C288" s="109"/>
      <c r="D288" s="100"/>
      <c r="E288" s="256"/>
      <c r="F288" s="257">
        <f>SUM(E285:E288)</f>
        <v>960</v>
      </c>
      <c r="H288" s="43" t="s">
        <v>267</v>
      </c>
      <c r="I288" s="302" t="str">
        <f>IF($H288="Monthly",$E288/12,IF($H288="Quarterly (From April)",$E288/4,IF($H288="Termly",$E288/3,IF($H288="Monthly (excl. August)",$E288/11,""))))</f>
        <v/>
      </c>
      <c r="J288" s="302" t="str">
        <f t="shared" si="207"/>
        <v/>
      </c>
      <c r="K288" s="302" t="str">
        <f t="shared" si="207"/>
        <v/>
      </c>
      <c r="L288" s="302" t="str">
        <f>IF($H288="Monthly",$E288/12,IF($H288="Quarterly (From April)",$E288/4,IF($H288="Termly",0,IF($H288="Monthly (excl. August)",$E288/11,""))))</f>
        <v/>
      </c>
      <c r="M288" s="302" t="str">
        <f>IF($H288="Monthly",$E288/12,IF($H288="Quarterly (From April)",0,IF($H288="Termly",0,IF($H288="Monthly (excl. August)",0,""))))</f>
        <v/>
      </c>
      <c r="N288" s="302" t="str">
        <f>IF($H288="Monthly",$E288/12,IF($H288="Quarterly (From April)",0,IF($H288="Termly",$E288/3,IF($H288="Monthly (excl. August)",$E288/11,""))))</f>
        <v/>
      </c>
      <c r="O288" s="302" t="str">
        <f>IF($H288="Monthly",$E288/12,IF($H288="Quarterly (From April)",$E288/4,IF($H288="Termly",0,IF($H288="Monthly (excl. August)",$E288/11,""))))</f>
        <v/>
      </c>
      <c r="P288" s="302" t="str">
        <f t="shared" si="208"/>
        <v/>
      </c>
      <c r="Q288" s="302" t="str">
        <f t="shared" si="208"/>
        <v/>
      </c>
      <c r="R288" s="302" t="str">
        <f>IF($H288="Monthly",$E288/12,IF($H288="Quarterly (From April)",$E288/4,IF($H288="Termly",$E288/3,IF($H288="Monthly (excl. August)",$E288/11,""))))</f>
        <v/>
      </c>
      <c r="S288" s="302" t="str">
        <f t="shared" si="209"/>
        <v/>
      </c>
      <c r="T288" s="302" t="str">
        <f t="shared" si="209"/>
        <v/>
      </c>
      <c r="U288" s="303">
        <f>E288</f>
        <v>0</v>
      </c>
      <c r="V288" s="214">
        <f>IF(ROUND(SUM(I288:T288),0)&gt;U288,1,IF(ROUND(SUM(I288:T288),0)&lt;U288,1,0))</f>
        <v>0</v>
      </c>
      <c r="W288" s="322">
        <f t="shared" si="177"/>
        <v>0</v>
      </c>
    </row>
    <row r="289" spans="1:23" ht="13.5" thickBot="1" x14ac:dyDescent="0.25">
      <c r="A289" s="45"/>
      <c r="B289" s="119"/>
      <c r="C289" s="111"/>
      <c r="D289" s="107"/>
      <c r="E289" s="267"/>
      <c r="F289" s="270"/>
      <c r="I289" s="306"/>
      <c r="J289" s="306"/>
      <c r="K289" s="306"/>
      <c r="L289" s="306"/>
      <c r="M289" s="306"/>
      <c r="N289" s="306"/>
      <c r="O289" s="306"/>
      <c r="P289" s="306"/>
      <c r="Q289" s="306"/>
      <c r="R289" s="306"/>
      <c r="S289" s="306"/>
      <c r="T289" s="306"/>
      <c r="U289" s="305"/>
      <c r="W289" s="322">
        <f t="shared" si="177"/>
        <v>0</v>
      </c>
    </row>
    <row r="290" spans="1:23" ht="12.75" customHeight="1" x14ac:dyDescent="0.2">
      <c r="A290" s="1092" t="s">
        <v>1002</v>
      </c>
      <c r="B290" s="170"/>
      <c r="C290" s="113"/>
      <c r="D290" s="93"/>
      <c r="E290" s="246"/>
      <c r="F290" s="247"/>
      <c r="H290" s="43" t="s">
        <v>267</v>
      </c>
      <c r="I290" s="302" t="str">
        <f>IF($H290="Monthly",$E290/12,IF($H290="Quarterly (From April)",$E290/4,IF($H290="Termly",$E290/3,IF($H290="Monthly (excl. August)",$E290/11,""))))</f>
        <v/>
      </c>
      <c r="J290" s="302" t="str">
        <f t="shared" ref="J290:K293" si="210">IF($H290="Monthly",$E290/12,IF($H290="Quarterly (From April)",0,IF($H290="Termly",0,IF($H290="Monthly (excl. August)",$E290/11,""))))</f>
        <v/>
      </c>
      <c r="K290" s="302" t="str">
        <f t="shared" si="210"/>
        <v/>
      </c>
      <c r="L290" s="302" t="str">
        <f>IF($H290="Monthly",$E290/12,IF($H290="Quarterly (From April)",$E290/4,IF($H290="Termly",0,IF($H290="Monthly (excl. August)",$E290/11,""))))</f>
        <v/>
      </c>
      <c r="M290" s="302" t="str">
        <f>IF($H290="Monthly",$E290/12,IF($H290="Quarterly (From April)",0,IF($H290="Termly",0,IF($H290="Monthly (excl. August)",0,""))))</f>
        <v/>
      </c>
      <c r="N290" s="302" t="str">
        <f>IF($H290="Monthly",$E290/12,IF($H290="Quarterly (From April)",0,IF($H290="Termly",$E290/3,IF($H290="Monthly (excl. August)",$E290/11,""))))</f>
        <v/>
      </c>
      <c r="O290" s="302" t="str">
        <f>IF($H290="Monthly",$E290/12,IF($H290="Quarterly (From April)",$E290/4,IF($H290="Termly",0,IF($H290="Monthly (excl. August)",$E290/11,""))))</f>
        <v/>
      </c>
      <c r="P290" s="302" t="str">
        <f t="shared" ref="P290:Q293" si="211">IF($H290="Monthly",$E290/12,IF($H290="Quarterly (From April)",0,IF($H290="Termly",0,IF($H290="Monthly (excl. August)",$E290/11,""))))</f>
        <v/>
      </c>
      <c r="Q290" s="302" t="str">
        <f t="shared" si="211"/>
        <v/>
      </c>
      <c r="R290" s="302" t="str">
        <f>IF($H290="Monthly",$E290/12,IF($H290="Quarterly (From April)",$E290/4,IF($H290="Termly",$E290/3,IF($H290="Monthly (excl. August)",$E290/11,""))))</f>
        <v/>
      </c>
      <c r="S290" s="302" t="str">
        <f t="shared" ref="S290:T293" si="212">IF($H290="Monthly",$E290/12,IF($H290="Quarterly (From April)",0,IF($H290="Termly",0,IF($H290="Monthly (excl. August)",$E290/11,""))))</f>
        <v/>
      </c>
      <c r="T290" s="302" t="str">
        <f t="shared" si="212"/>
        <v/>
      </c>
      <c r="U290" s="303">
        <f>E290</f>
        <v>0</v>
      </c>
      <c r="V290" s="214">
        <f>IF(ROUND(SUM(I290:T290),0)&gt;U290,1,IF(ROUND(SUM(I290:T290),0)&lt;U290,1,0))</f>
        <v>0</v>
      </c>
      <c r="W290" s="322">
        <f t="shared" si="177"/>
        <v>0</v>
      </c>
    </row>
    <row r="291" spans="1:23" x14ac:dyDescent="0.2">
      <c r="A291" s="1093"/>
      <c r="B291" s="160"/>
      <c r="C291" s="108"/>
      <c r="D291" s="95"/>
      <c r="E291" s="250"/>
      <c r="F291" s="251"/>
      <c r="H291" s="43" t="s">
        <v>267</v>
      </c>
      <c r="I291" s="302" t="str">
        <f>IF($H291="Monthly",$E291/12,IF($H291="Quarterly (From April)",$E291/4,IF($H291="Termly",$E291/3,IF($H291="Monthly (excl. August)",$E291/11,""))))</f>
        <v/>
      </c>
      <c r="J291" s="302" t="str">
        <f t="shared" si="210"/>
        <v/>
      </c>
      <c r="K291" s="302" t="str">
        <f t="shared" si="210"/>
        <v/>
      </c>
      <c r="L291" s="302" t="str">
        <f>IF($H291="Monthly",$E291/12,IF($H291="Quarterly (From April)",$E291/4,IF($H291="Termly",0,IF($H291="Monthly (excl. August)",$E291/11,""))))</f>
        <v/>
      </c>
      <c r="M291" s="302" t="str">
        <f>IF($H291="Monthly",$E291/12,IF($H291="Quarterly (From April)",0,IF($H291="Termly",0,IF($H291="Monthly (excl. August)",0,""))))</f>
        <v/>
      </c>
      <c r="N291" s="302" t="str">
        <f>IF($H291="Monthly",$E291/12,IF($H291="Quarterly (From April)",0,IF($H291="Termly",$E291/3,IF($H291="Monthly (excl. August)",$E291/11,""))))</f>
        <v/>
      </c>
      <c r="O291" s="302" t="str">
        <f>IF($H291="Monthly",$E291/12,IF($H291="Quarterly (From April)",$E291/4,IF($H291="Termly",0,IF($H291="Monthly (excl. August)",$E291/11,""))))</f>
        <v/>
      </c>
      <c r="P291" s="302" t="str">
        <f t="shared" si="211"/>
        <v/>
      </c>
      <c r="Q291" s="302" t="str">
        <f t="shared" si="211"/>
        <v/>
      </c>
      <c r="R291" s="302" t="str">
        <f>IF($H291="Monthly",$E291/12,IF($H291="Quarterly (From April)",$E291/4,IF($H291="Termly",$E291/3,IF($H291="Monthly (excl. August)",$E291/11,""))))</f>
        <v/>
      </c>
      <c r="S291" s="302" t="str">
        <f t="shared" si="212"/>
        <v/>
      </c>
      <c r="T291" s="302" t="str">
        <f t="shared" si="212"/>
        <v/>
      </c>
      <c r="U291" s="303">
        <f>E291</f>
        <v>0</v>
      </c>
      <c r="V291" s="214">
        <f>IF(ROUND(SUM(I291:T291),0)&gt;U291,1,IF(ROUND(SUM(I291:T291),0)&lt;U291,1,0))</f>
        <v>0</v>
      </c>
      <c r="W291" s="322">
        <f t="shared" si="177"/>
        <v>0</v>
      </c>
    </row>
    <row r="292" spans="1:23" x14ac:dyDescent="0.2">
      <c r="A292" s="1093"/>
      <c r="B292" s="160"/>
      <c r="C292" s="108"/>
      <c r="D292" s="95"/>
      <c r="E292" s="250"/>
      <c r="F292" s="251"/>
      <c r="H292" s="43" t="s">
        <v>267</v>
      </c>
      <c r="I292" s="302" t="str">
        <f>IF($H292="Monthly",$E292/12,IF($H292="Quarterly (From April)",$E292/4,IF($H292="Termly",$E292/3,IF($H292="Monthly (excl. August)",$E292/11,""))))</f>
        <v/>
      </c>
      <c r="J292" s="302" t="str">
        <f t="shared" si="210"/>
        <v/>
      </c>
      <c r="K292" s="302" t="str">
        <f t="shared" si="210"/>
        <v/>
      </c>
      <c r="L292" s="302" t="str">
        <f>IF($H292="Monthly",$E292/12,IF($H292="Quarterly (From April)",$E292/4,IF($H292="Termly",0,IF($H292="Monthly (excl. August)",$E292/11,""))))</f>
        <v/>
      </c>
      <c r="M292" s="302" t="str">
        <f>IF($H292="Monthly",$E292/12,IF($H292="Quarterly (From April)",0,IF($H292="Termly",0,IF($H292="Monthly (excl. August)",0,""))))</f>
        <v/>
      </c>
      <c r="N292" s="302" t="str">
        <f>IF($H292="Monthly",$E292/12,IF($H292="Quarterly (From April)",0,IF($H292="Termly",$E292/3,IF($H292="Monthly (excl. August)",$E292/11,""))))</f>
        <v/>
      </c>
      <c r="O292" s="302" t="str">
        <f>IF($H292="Monthly",$E292/12,IF($H292="Quarterly (From April)",$E292/4,IF($H292="Termly",0,IF($H292="Monthly (excl. August)",$E292/11,""))))</f>
        <v/>
      </c>
      <c r="P292" s="302" t="str">
        <f t="shared" si="211"/>
        <v/>
      </c>
      <c r="Q292" s="302" t="str">
        <f t="shared" si="211"/>
        <v/>
      </c>
      <c r="R292" s="302" t="str">
        <f>IF($H292="Monthly",$E292/12,IF($H292="Quarterly (From April)",$E292/4,IF($H292="Termly",$E292/3,IF($H292="Monthly (excl. August)",$E292/11,""))))</f>
        <v/>
      </c>
      <c r="S292" s="302" t="str">
        <f t="shared" si="212"/>
        <v/>
      </c>
      <c r="T292" s="302" t="str">
        <f t="shared" si="212"/>
        <v/>
      </c>
      <c r="U292" s="303">
        <f>E292</f>
        <v>0</v>
      </c>
      <c r="V292" s="214">
        <f>IF(ROUND(SUM(I292:T292),0)&gt;U292,1,IF(ROUND(SUM(I292:T292),0)&lt;U292,1,0))</f>
        <v>0</v>
      </c>
      <c r="W292" s="322">
        <f t="shared" si="177"/>
        <v>0</v>
      </c>
    </row>
    <row r="293" spans="1:23" ht="13.5" thickBot="1" x14ac:dyDescent="0.25">
      <c r="A293" s="1094"/>
      <c r="B293" s="161"/>
      <c r="C293" s="109"/>
      <c r="D293" s="100"/>
      <c r="E293" s="256"/>
      <c r="F293" s="257">
        <f>SUM(E290:E293)</f>
        <v>0</v>
      </c>
      <c r="H293" s="43" t="s">
        <v>267</v>
      </c>
      <c r="I293" s="302" t="str">
        <f>IF($H293="Monthly",$E293/12,IF($H293="Quarterly (From April)",$E293/4,IF($H293="Termly",$E293/3,IF($H293="Monthly (excl. August)",$E293/11,""))))</f>
        <v/>
      </c>
      <c r="J293" s="302" t="str">
        <f t="shared" si="210"/>
        <v/>
      </c>
      <c r="K293" s="302" t="str">
        <f t="shared" si="210"/>
        <v/>
      </c>
      <c r="L293" s="302" t="str">
        <f>IF($H293="Monthly",$E293/12,IF($H293="Quarterly (From April)",$E293/4,IF($H293="Termly",0,IF($H293="Monthly (excl. August)",$E293/11,""))))</f>
        <v/>
      </c>
      <c r="M293" s="302" t="str">
        <f>IF($H293="Monthly",$E293/12,IF($H293="Quarterly (From April)",0,IF($H293="Termly",0,IF($H293="Monthly (excl. August)",0,""))))</f>
        <v/>
      </c>
      <c r="N293" s="302" t="str">
        <f>IF($H293="Monthly",$E293/12,IF($H293="Quarterly (From April)",0,IF($H293="Termly",$E293/3,IF($H293="Monthly (excl. August)",$E293/11,""))))</f>
        <v/>
      </c>
      <c r="O293" s="302" t="str">
        <f>IF($H293="Monthly",$E293/12,IF($H293="Quarterly (From April)",$E293/4,IF($H293="Termly",0,IF($H293="Monthly (excl. August)",$E293/11,""))))</f>
        <v/>
      </c>
      <c r="P293" s="302" t="str">
        <f t="shared" si="211"/>
        <v/>
      </c>
      <c r="Q293" s="302" t="str">
        <f t="shared" si="211"/>
        <v/>
      </c>
      <c r="R293" s="302" t="str">
        <f>IF($H293="Monthly",$E293/12,IF($H293="Quarterly (From April)",$E293/4,IF($H293="Termly",$E293/3,IF($H293="Monthly (excl. August)",$E293/11,""))))</f>
        <v/>
      </c>
      <c r="S293" s="302" t="str">
        <f t="shared" si="212"/>
        <v/>
      </c>
      <c r="T293" s="302" t="str">
        <f t="shared" si="212"/>
        <v/>
      </c>
      <c r="U293" s="303">
        <f>E293</f>
        <v>0</v>
      </c>
      <c r="V293" s="214">
        <f>IF(ROUND(SUM(I293:T293),0)&gt;U293,1,IF(ROUND(SUM(I293:T293),0)&lt;U293,1,0))</f>
        <v>0</v>
      </c>
      <c r="W293" s="322">
        <f t="shared" si="177"/>
        <v>0</v>
      </c>
    </row>
    <row r="294" spans="1:23" ht="13.5" thickBot="1" x14ac:dyDescent="0.25">
      <c r="A294" s="41"/>
      <c r="B294" s="117"/>
      <c r="C294" s="101"/>
      <c r="D294" s="102"/>
      <c r="E294" s="259"/>
      <c r="F294" s="260"/>
      <c r="I294" s="306"/>
      <c r="J294" s="306"/>
      <c r="K294" s="306"/>
      <c r="L294" s="306"/>
      <c r="M294" s="306"/>
      <c r="N294" s="306"/>
      <c r="O294" s="306"/>
      <c r="P294" s="306"/>
      <c r="Q294" s="306"/>
      <c r="R294" s="306"/>
      <c r="S294" s="306"/>
      <c r="T294" s="306"/>
      <c r="U294" s="305"/>
      <c r="W294" s="322">
        <f t="shared" si="177"/>
        <v>0</v>
      </c>
    </row>
    <row r="295" spans="1:23" ht="12.75" customHeight="1" x14ac:dyDescent="0.2">
      <c r="A295" s="1092" t="s">
        <v>1002</v>
      </c>
      <c r="B295" s="170"/>
      <c r="C295" s="113"/>
      <c r="D295" s="93"/>
      <c r="E295" s="246"/>
      <c r="F295" s="247"/>
      <c r="H295" s="43" t="s">
        <v>267</v>
      </c>
      <c r="I295" s="302" t="str">
        <f>IF($H295="Monthly",$E295/12,IF($H295="Quarterly (From April)",$E295/4,IF($H295="Termly",$E295/3,IF($H295="Monthly (excl. August)",$E295/11,""))))</f>
        <v/>
      </c>
      <c r="J295" s="302" t="str">
        <f t="shared" ref="J295:K298" si="213">IF($H295="Monthly",$E295/12,IF($H295="Quarterly (From April)",0,IF($H295="Termly",0,IF($H295="Monthly (excl. August)",$E295/11,""))))</f>
        <v/>
      </c>
      <c r="K295" s="302" t="str">
        <f t="shared" si="213"/>
        <v/>
      </c>
      <c r="L295" s="302" t="str">
        <f>IF($H295="Monthly",$E295/12,IF($H295="Quarterly (From April)",$E295/4,IF($H295="Termly",0,IF($H295="Monthly (excl. August)",$E295/11,""))))</f>
        <v/>
      </c>
      <c r="M295" s="302" t="str">
        <f>IF($H295="Monthly",$E295/12,IF($H295="Quarterly (From April)",0,IF($H295="Termly",0,IF($H295="Monthly (excl. August)",0,""))))</f>
        <v/>
      </c>
      <c r="N295" s="302" t="str">
        <f>IF($H295="Monthly",$E295/12,IF($H295="Quarterly (From April)",0,IF($H295="Termly",$E295/3,IF($H295="Monthly (excl. August)",$E295/11,""))))</f>
        <v/>
      </c>
      <c r="O295" s="302" t="str">
        <f>IF($H295="Monthly",$E295/12,IF($H295="Quarterly (From April)",$E295/4,IF($H295="Termly",0,IF($H295="Monthly (excl. August)",$E295/11,""))))</f>
        <v/>
      </c>
      <c r="P295" s="302" t="str">
        <f t="shared" ref="P295:Q298" si="214">IF($H295="Monthly",$E295/12,IF($H295="Quarterly (From April)",0,IF($H295="Termly",0,IF($H295="Monthly (excl. August)",$E295/11,""))))</f>
        <v/>
      </c>
      <c r="Q295" s="302" t="str">
        <f t="shared" si="214"/>
        <v/>
      </c>
      <c r="R295" s="302" t="str">
        <f>IF($H295="Monthly",$E295/12,IF($H295="Quarterly (From April)",$E295/4,IF($H295="Termly",$E295/3,IF($H295="Monthly (excl. August)",$E295/11,""))))</f>
        <v/>
      </c>
      <c r="S295" s="302" t="str">
        <f t="shared" ref="S295:T298" si="215">IF($H295="Monthly",$E295/12,IF($H295="Quarterly (From April)",0,IF($H295="Termly",0,IF($H295="Monthly (excl. August)",$E295/11,""))))</f>
        <v/>
      </c>
      <c r="T295" s="302" t="str">
        <f t="shared" si="215"/>
        <v/>
      </c>
      <c r="U295" s="303">
        <f>E295</f>
        <v>0</v>
      </c>
      <c r="V295" s="214">
        <f>IF(ROUND(SUM(I295:T295),0)&gt;U295,1,IF(ROUND(SUM(I295:T295),0)&lt;U295,1,0))</f>
        <v>0</v>
      </c>
      <c r="W295" s="322">
        <f t="shared" si="177"/>
        <v>0</v>
      </c>
    </row>
    <row r="296" spans="1:23" x14ac:dyDescent="0.2">
      <c r="A296" s="1093"/>
      <c r="B296" s="160"/>
      <c r="C296" s="108"/>
      <c r="D296" s="95"/>
      <c r="E296" s="250"/>
      <c r="F296" s="251"/>
      <c r="H296" s="43" t="s">
        <v>267</v>
      </c>
      <c r="I296" s="302" t="str">
        <f>IF($H296="Monthly",$E296/12,IF($H296="Quarterly (From April)",$E296/4,IF($H296="Termly",$E296/3,IF($H296="Monthly (excl. August)",$E296/11,""))))</f>
        <v/>
      </c>
      <c r="J296" s="302" t="str">
        <f t="shared" si="213"/>
        <v/>
      </c>
      <c r="K296" s="302" t="str">
        <f t="shared" si="213"/>
        <v/>
      </c>
      <c r="L296" s="302" t="str">
        <f>IF($H296="Monthly",$E296/12,IF($H296="Quarterly (From April)",$E296/4,IF($H296="Termly",0,IF($H296="Monthly (excl. August)",$E296/11,""))))</f>
        <v/>
      </c>
      <c r="M296" s="302" t="str">
        <f>IF($H296="Monthly",$E296/12,IF($H296="Quarterly (From April)",0,IF($H296="Termly",0,IF($H296="Monthly (excl. August)",0,""))))</f>
        <v/>
      </c>
      <c r="N296" s="302" t="str">
        <f>IF($H296="Monthly",$E296/12,IF($H296="Quarterly (From April)",0,IF($H296="Termly",$E296/3,IF($H296="Monthly (excl. August)",$E296/11,""))))</f>
        <v/>
      </c>
      <c r="O296" s="302" t="str">
        <f>IF($H296="Monthly",$E296/12,IF($H296="Quarterly (From April)",$E296/4,IF($H296="Termly",0,IF($H296="Monthly (excl. August)",$E296/11,""))))</f>
        <v/>
      </c>
      <c r="P296" s="302" t="str">
        <f t="shared" si="214"/>
        <v/>
      </c>
      <c r="Q296" s="302" t="str">
        <f t="shared" si="214"/>
        <v/>
      </c>
      <c r="R296" s="302" t="str">
        <f>IF($H296="Monthly",$E296/12,IF($H296="Quarterly (From April)",$E296/4,IF($H296="Termly",$E296/3,IF($H296="Monthly (excl. August)",$E296/11,""))))</f>
        <v/>
      </c>
      <c r="S296" s="302" t="str">
        <f t="shared" si="215"/>
        <v/>
      </c>
      <c r="T296" s="302" t="str">
        <f t="shared" si="215"/>
        <v/>
      </c>
      <c r="U296" s="303">
        <f>E296</f>
        <v>0</v>
      </c>
      <c r="V296" s="214">
        <f>IF(ROUND(SUM(I296:T296),0)&gt;U296,1,IF(ROUND(SUM(I296:T296),0)&lt;U296,1,0))</f>
        <v>0</v>
      </c>
      <c r="W296" s="322">
        <f t="shared" si="177"/>
        <v>0</v>
      </c>
    </row>
    <row r="297" spans="1:23" x14ac:dyDescent="0.2">
      <c r="A297" s="1093"/>
      <c r="B297" s="160"/>
      <c r="C297" s="108"/>
      <c r="D297" s="95"/>
      <c r="E297" s="250"/>
      <c r="F297" s="251"/>
      <c r="H297" s="43" t="s">
        <v>267</v>
      </c>
      <c r="I297" s="302" t="str">
        <f>IF($H297="Monthly",$E297/12,IF($H297="Quarterly (From April)",$E297/4,IF($H297="Termly",$E297/3,IF($H297="Monthly (excl. August)",$E297/11,""))))</f>
        <v/>
      </c>
      <c r="J297" s="302" t="str">
        <f t="shared" si="213"/>
        <v/>
      </c>
      <c r="K297" s="302" t="str">
        <f t="shared" si="213"/>
        <v/>
      </c>
      <c r="L297" s="302" t="str">
        <f>IF($H297="Monthly",$E297/12,IF($H297="Quarterly (From April)",$E297/4,IF($H297="Termly",0,IF($H297="Monthly (excl. August)",$E297/11,""))))</f>
        <v/>
      </c>
      <c r="M297" s="302" t="str">
        <f>IF($H297="Monthly",$E297/12,IF($H297="Quarterly (From April)",0,IF($H297="Termly",0,IF($H297="Monthly (excl. August)",0,""))))</f>
        <v/>
      </c>
      <c r="N297" s="302" t="str">
        <f>IF($H297="Monthly",$E297/12,IF($H297="Quarterly (From April)",0,IF($H297="Termly",$E297/3,IF($H297="Monthly (excl. August)",$E297/11,""))))</f>
        <v/>
      </c>
      <c r="O297" s="302" t="str">
        <f>IF($H297="Monthly",$E297/12,IF($H297="Quarterly (From April)",$E297/4,IF($H297="Termly",0,IF($H297="Monthly (excl. August)",$E297/11,""))))</f>
        <v/>
      </c>
      <c r="P297" s="302" t="str">
        <f t="shared" si="214"/>
        <v/>
      </c>
      <c r="Q297" s="302" t="str">
        <f t="shared" si="214"/>
        <v/>
      </c>
      <c r="R297" s="302" t="str">
        <f>IF($H297="Monthly",$E297/12,IF($H297="Quarterly (From April)",$E297/4,IF($H297="Termly",$E297/3,IF($H297="Monthly (excl. August)",$E297/11,""))))</f>
        <v/>
      </c>
      <c r="S297" s="302" t="str">
        <f t="shared" si="215"/>
        <v/>
      </c>
      <c r="T297" s="302" t="str">
        <f t="shared" si="215"/>
        <v/>
      </c>
      <c r="U297" s="303">
        <f>E297</f>
        <v>0</v>
      </c>
      <c r="V297" s="214">
        <f>IF(ROUND(SUM(I297:T297),0)&gt;U297,1,IF(ROUND(SUM(I297:T297),0)&lt;U297,1,0))</f>
        <v>0</v>
      </c>
      <c r="W297" s="322">
        <f t="shared" si="177"/>
        <v>0</v>
      </c>
    </row>
    <row r="298" spans="1:23" ht="13.5" thickBot="1" x14ac:dyDescent="0.25">
      <c r="A298" s="1094"/>
      <c r="B298" s="161"/>
      <c r="C298" s="109"/>
      <c r="D298" s="100"/>
      <c r="E298" s="256"/>
      <c r="F298" s="257">
        <f>SUM(E295:E298)</f>
        <v>0</v>
      </c>
      <c r="H298" s="43" t="s">
        <v>267</v>
      </c>
      <c r="I298" s="302" t="str">
        <f>IF($H298="Monthly",$E298/12,IF($H298="Quarterly (From April)",$E298/4,IF($H298="Termly",$E298/3,IF($H298="Monthly (excl. August)",$E298/11,""))))</f>
        <v/>
      </c>
      <c r="J298" s="302" t="str">
        <f t="shared" si="213"/>
        <v/>
      </c>
      <c r="K298" s="302" t="str">
        <f t="shared" si="213"/>
        <v/>
      </c>
      <c r="L298" s="302" t="str">
        <f>IF($H298="Monthly",$E298/12,IF($H298="Quarterly (From April)",$E298/4,IF($H298="Termly",0,IF($H298="Monthly (excl. August)",$E298/11,""))))</f>
        <v/>
      </c>
      <c r="M298" s="302" t="str">
        <f>IF($H298="Monthly",$E298/12,IF($H298="Quarterly (From April)",0,IF($H298="Termly",0,IF($H298="Monthly (excl. August)",0,""))))</f>
        <v/>
      </c>
      <c r="N298" s="302" t="str">
        <f>IF($H298="Monthly",$E298/12,IF($H298="Quarterly (From April)",0,IF($H298="Termly",$E298/3,IF($H298="Monthly (excl. August)",$E298/11,""))))</f>
        <v/>
      </c>
      <c r="O298" s="302" t="str">
        <f>IF($H298="Monthly",$E298/12,IF($H298="Quarterly (From April)",$E298/4,IF($H298="Termly",0,IF($H298="Monthly (excl. August)",$E298/11,""))))</f>
        <v/>
      </c>
      <c r="P298" s="302" t="str">
        <f t="shared" si="214"/>
        <v/>
      </c>
      <c r="Q298" s="302" t="str">
        <f t="shared" si="214"/>
        <v/>
      </c>
      <c r="R298" s="302" t="str">
        <f>IF($H298="Monthly",$E298/12,IF($H298="Quarterly (From April)",$E298/4,IF($H298="Termly",$E298/3,IF($H298="Monthly (excl. August)",$E298/11,""))))</f>
        <v/>
      </c>
      <c r="S298" s="302" t="str">
        <f t="shared" si="215"/>
        <v/>
      </c>
      <c r="T298" s="302" t="str">
        <f t="shared" si="215"/>
        <v/>
      </c>
      <c r="U298" s="303">
        <f>E298</f>
        <v>0</v>
      </c>
      <c r="V298" s="214">
        <f>IF(ROUND(SUM(I298:T298),0)&gt;U298,1,IF(ROUND(SUM(I298:T298),0)&lt;U298,1,0))</f>
        <v>0</v>
      </c>
      <c r="W298" s="322">
        <f t="shared" si="177"/>
        <v>0</v>
      </c>
    </row>
    <row r="299" spans="1:23" ht="13.5" thickBot="1" x14ac:dyDescent="0.25">
      <c r="A299" s="45"/>
      <c r="B299" s="119"/>
      <c r="C299" s="111"/>
      <c r="D299" s="107"/>
      <c r="E299" s="267"/>
      <c r="F299" s="270"/>
      <c r="I299" s="306"/>
      <c r="J299" s="306"/>
      <c r="K299" s="306"/>
      <c r="L299" s="306"/>
      <c r="M299" s="306"/>
      <c r="N299" s="306"/>
      <c r="O299" s="306"/>
      <c r="P299" s="306"/>
      <c r="Q299" s="306"/>
      <c r="R299" s="306"/>
      <c r="S299" s="306"/>
      <c r="T299" s="306"/>
      <c r="U299" s="305"/>
      <c r="W299" s="322">
        <f t="shared" si="177"/>
        <v>0</v>
      </c>
    </row>
    <row r="300" spans="1:23" ht="12.75" customHeight="1" x14ac:dyDescent="0.2">
      <c r="A300" s="1092" t="s">
        <v>1002</v>
      </c>
      <c r="B300" s="170"/>
      <c r="C300" s="113"/>
      <c r="D300" s="93"/>
      <c r="E300" s="246"/>
      <c r="F300" s="247"/>
      <c r="H300" s="43" t="s">
        <v>267</v>
      </c>
      <c r="I300" s="302" t="str">
        <f>IF($H300="Monthly",$E300/12,IF($H300="Quarterly (From April)",$E300/4,IF($H300="Termly",$E300/3,IF($H300="Monthly (excl. August)",$E300/11,""))))</f>
        <v/>
      </c>
      <c r="J300" s="302" t="str">
        <f t="shared" ref="J300:K303" si="216">IF($H300="Monthly",$E300/12,IF($H300="Quarterly (From April)",0,IF($H300="Termly",0,IF($H300="Monthly (excl. August)",$E300/11,""))))</f>
        <v/>
      </c>
      <c r="K300" s="302" t="str">
        <f t="shared" si="216"/>
        <v/>
      </c>
      <c r="L300" s="302" t="str">
        <f>IF($H300="Monthly",$E300/12,IF($H300="Quarterly (From April)",$E300/4,IF($H300="Termly",0,IF($H300="Monthly (excl. August)",$E300/11,""))))</f>
        <v/>
      </c>
      <c r="M300" s="302" t="str">
        <f>IF($H300="Monthly",$E300/12,IF($H300="Quarterly (From April)",0,IF($H300="Termly",0,IF($H300="Monthly (excl. August)",0,""))))</f>
        <v/>
      </c>
      <c r="N300" s="302" t="str">
        <f>IF($H300="Monthly",$E300/12,IF($H300="Quarterly (From April)",0,IF($H300="Termly",$E300/3,IF($H300="Monthly (excl. August)",$E300/11,""))))</f>
        <v/>
      </c>
      <c r="O300" s="302" t="str">
        <f>IF($H300="Monthly",$E300/12,IF($H300="Quarterly (From April)",$E300/4,IF($H300="Termly",0,IF($H300="Monthly (excl. August)",$E300/11,""))))</f>
        <v/>
      </c>
      <c r="P300" s="302" t="str">
        <f t="shared" ref="P300:Q303" si="217">IF($H300="Monthly",$E300/12,IF($H300="Quarterly (From April)",0,IF($H300="Termly",0,IF($H300="Monthly (excl. August)",$E300/11,""))))</f>
        <v/>
      </c>
      <c r="Q300" s="302" t="str">
        <f t="shared" si="217"/>
        <v/>
      </c>
      <c r="R300" s="302" t="str">
        <f>IF($H300="Monthly",$E300/12,IF($H300="Quarterly (From April)",$E300/4,IF($H300="Termly",$E300/3,IF($H300="Monthly (excl. August)",$E300/11,""))))</f>
        <v/>
      </c>
      <c r="S300" s="302" t="str">
        <f t="shared" ref="S300:T303" si="218">IF($H300="Monthly",$E300/12,IF($H300="Quarterly (From April)",0,IF($H300="Termly",0,IF($H300="Monthly (excl. August)",$E300/11,""))))</f>
        <v/>
      </c>
      <c r="T300" s="302" t="str">
        <f t="shared" si="218"/>
        <v/>
      </c>
      <c r="U300" s="303">
        <f>E300</f>
        <v>0</v>
      </c>
      <c r="V300" s="214">
        <f>IF(ROUND(SUM(I300:T300),0)&gt;U300,1,IF(ROUND(SUM(I300:T300),0)&lt;U300,1,0))</f>
        <v>0</v>
      </c>
      <c r="W300" s="322">
        <f t="shared" si="177"/>
        <v>0</v>
      </c>
    </row>
    <row r="301" spans="1:23" x14ac:dyDescent="0.2">
      <c r="A301" s="1093"/>
      <c r="B301" s="160"/>
      <c r="C301" s="108"/>
      <c r="D301" s="95"/>
      <c r="E301" s="250"/>
      <c r="F301" s="251"/>
      <c r="H301" s="43" t="s">
        <v>267</v>
      </c>
      <c r="I301" s="302" t="str">
        <f>IF($H301="Monthly",$E301/12,IF($H301="Quarterly (From April)",$E301/4,IF($H301="Termly",$E301/3,IF($H301="Monthly (excl. August)",$E301/11,""))))</f>
        <v/>
      </c>
      <c r="J301" s="302" t="str">
        <f t="shared" si="216"/>
        <v/>
      </c>
      <c r="K301" s="302" t="str">
        <f t="shared" si="216"/>
        <v/>
      </c>
      <c r="L301" s="302" t="str">
        <f>IF($H301="Monthly",$E301/12,IF($H301="Quarterly (From April)",$E301/4,IF($H301="Termly",0,IF($H301="Monthly (excl. August)",$E301/11,""))))</f>
        <v/>
      </c>
      <c r="M301" s="302" t="str">
        <f>IF($H301="Monthly",$E301/12,IF($H301="Quarterly (From April)",0,IF($H301="Termly",0,IF($H301="Monthly (excl. August)",0,""))))</f>
        <v/>
      </c>
      <c r="N301" s="302" t="str">
        <f>IF($H301="Monthly",$E301/12,IF($H301="Quarterly (From April)",0,IF($H301="Termly",$E301/3,IF($H301="Monthly (excl. August)",$E301/11,""))))</f>
        <v/>
      </c>
      <c r="O301" s="302" t="str">
        <f>IF($H301="Monthly",$E301/12,IF($H301="Quarterly (From April)",$E301/4,IF($H301="Termly",0,IF($H301="Monthly (excl. August)",$E301/11,""))))</f>
        <v/>
      </c>
      <c r="P301" s="302" t="str">
        <f t="shared" si="217"/>
        <v/>
      </c>
      <c r="Q301" s="302" t="str">
        <f t="shared" si="217"/>
        <v/>
      </c>
      <c r="R301" s="302" t="str">
        <f>IF($H301="Monthly",$E301/12,IF($H301="Quarterly (From April)",$E301/4,IF($H301="Termly",$E301/3,IF($H301="Monthly (excl. August)",$E301/11,""))))</f>
        <v/>
      </c>
      <c r="S301" s="302" t="str">
        <f t="shared" si="218"/>
        <v/>
      </c>
      <c r="T301" s="302" t="str">
        <f t="shared" si="218"/>
        <v/>
      </c>
      <c r="U301" s="303">
        <f>E301</f>
        <v>0</v>
      </c>
      <c r="V301" s="214">
        <f>IF(ROUND(SUM(I301:T301),0)&gt;U301,1,IF(ROUND(SUM(I301:T301),0)&lt;U301,1,0))</f>
        <v>0</v>
      </c>
      <c r="W301" s="322">
        <f t="shared" si="177"/>
        <v>0</v>
      </c>
    </row>
    <row r="302" spans="1:23" x14ac:dyDescent="0.2">
      <c r="A302" s="1093"/>
      <c r="B302" s="160"/>
      <c r="C302" s="108"/>
      <c r="D302" s="95"/>
      <c r="E302" s="250"/>
      <c r="F302" s="251"/>
      <c r="H302" s="43" t="s">
        <v>267</v>
      </c>
      <c r="I302" s="302" t="str">
        <f>IF($H302="Monthly",$E302/12,IF($H302="Quarterly (From April)",$E302/4,IF($H302="Termly",$E302/3,IF($H302="Monthly (excl. August)",$E302/11,""))))</f>
        <v/>
      </c>
      <c r="J302" s="302" t="str">
        <f t="shared" si="216"/>
        <v/>
      </c>
      <c r="K302" s="302" t="str">
        <f t="shared" si="216"/>
        <v/>
      </c>
      <c r="L302" s="302" t="str">
        <f>IF($H302="Monthly",$E302/12,IF($H302="Quarterly (From April)",$E302/4,IF($H302="Termly",0,IF($H302="Monthly (excl. August)",$E302/11,""))))</f>
        <v/>
      </c>
      <c r="M302" s="302" t="str">
        <f>IF($H302="Monthly",$E302/12,IF($H302="Quarterly (From April)",0,IF($H302="Termly",0,IF($H302="Monthly (excl. August)",0,""))))</f>
        <v/>
      </c>
      <c r="N302" s="302" t="str">
        <f>IF($H302="Monthly",$E302/12,IF($H302="Quarterly (From April)",0,IF($H302="Termly",$E302/3,IF($H302="Monthly (excl. August)",$E302/11,""))))</f>
        <v/>
      </c>
      <c r="O302" s="302" t="str">
        <f>IF($H302="Monthly",$E302/12,IF($H302="Quarterly (From April)",$E302/4,IF($H302="Termly",0,IF($H302="Monthly (excl. August)",$E302/11,""))))</f>
        <v/>
      </c>
      <c r="P302" s="302" t="str">
        <f t="shared" si="217"/>
        <v/>
      </c>
      <c r="Q302" s="302" t="str">
        <f t="shared" si="217"/>
        <v/>
      </c>
      <c r="R302" s="302" t="str">
        <f>IF($H302="Monthly",$E302/12,IF($H302="Quarterly (From April)",$E302/4,IF($H302="Termly",$E302/3,IF($H302="Monthly (excl. August)",$E302/11,""))))</f>
        <v/>
      </c>
      <c r="S302" s="302" t="str">
        <f t="shared" si="218"/>
        <v/>
      </c>
      <c r="T302" s="302" t="str">
        <f t="shared" si="218"/>
        <v/>
      </c>
      <c r="U302" s="303">
        <f>E302</f>
        <v>0</v>
      </c>
      <c r="V302" s="214">
        <f>IF(ROUND(SUM(I302:T302),0)&gt;U302,1,IF(ROUND(SUM(I302:T302),0)&lt;U302,1,0))</f>
        <v>0</v>
      </c>
      <c r="W302" s="322">
        <f t="shared" si="177"/>
        <v>0</v>
      </c>
    </row>
    <row r="303" spans="1:23" ht="13.5" thickBot="1" x14ac:dyDescent="0.25">
      <c r="A303" s="1094"/>
      <c r="B303" s="161"/>
      <c r="C303" s="109"/>
      <c r="D303" s="100"/>
      <c r="E303" s="256"/>
      <c r="F303" s="257">
        <f>SUM(E300:E303)</f>
        <v>0</v>
      </c>
      <c r="H303" s="43" t="s">
        <v>267</v>
      </c>
      <c r="I303" s="302" t="str">
        <f>IF($H303="Monthly",$E303/12,IF($H303="Quarterly (From April)",$E303/4,IF($H303="Termly",$E303/3,IF($H303="Monthly (excl. August)",$E303/11,""))))</f>
        <v/>
      </c>
      <c r="J303" s="302" t="str">
        <f t="shared" si="216"/>
        <v/>
      </c>
      <c r="K303" s="302" t="str">
        <f t="shared" si="216"/>
        <v/>
      </c>
      <c r="L303" s="302" t="str">
        <f>IF($H303="Monthly",$E303/12,IF($H303="Quarterly (From April)",$E303/4,IF($H303="Termly",0,IF($H303="Monthly (excl. August)",$E303/11,""))))</f>
        <v/>
      </c>
      <c r="M303" s="302" t="str">
        <f>IF($H303="Monthly",$E303/12,IF($H303="Quarterly (From April)",0,IF($H303="Termly",0,IF($H303="Monthly (excl. August)",0,""))))</f>
        <v/>
      </c>
      <c r="N303" s="302" t="str">
        <f>IF($H303="Monthly",$E303/12,IF($H303="Quarterly (From April)",0,IF($H303="Termly",$E303/3,IF($H303="Monthly (excl. August)",$E303/11,""))))</f>
        <v/>
      </c>
      <c r="O303" s="302" t="str">
        <f>IF($H303="Monthly",$E303/12,IF($H303="Quarterly (From April)",$E303/4,IF($H303="Termly",0,IF($H303="Monthly (excl. August)",$E303/11,""))))</f>
        <v/>
      </c>
      <c r="P303" s="302" t="str">
        <f t="shared" si="217"/>
        <v/>
      </c>
      <c r="Q303" s="302" t="str">
        <f t="shared" si="217"/>
        <v/>
      </c>
      <c r="R303" s="302" t="str">
        <f>IF($H303="Monthly",$E303/12,IF($H303="Quarterly (From April)",$E303/4,IF($H303="Termly",$E303/3,IF($H303="Monthly (excl. August)",$E303/11,""))))</f>
        <v/>
      </c>
      <c r="S303" s="302" t="str">
        <f t="shared" si="218"/>
        <v/>
      </c>
      <c r="T303" s="302" t="str">
        <f t="shared" si="218"/>
        <v/>
      </c>
      <c r="U303" s="303">
        <f>E303</f>
        <v>0</v>
      </c>
      <c r="V303" s="214">
        <f>IF(ROUND(SUM(I303:T303),0)&gt;U303,1,IF(ROUND(SUM(I303:T303),0)&lt;U303,1,0))</f>
        <v>0</v>
      </c>
      <c r="W303" s="322">
        <f t="shared" si="177"/>
        <v>0</v>
      </c>
    </row>
    <row r="304" spans="1:23" ht="13.5" thickBot="1" x14ac:dyDescent="0.25">
      <c r="A304" s="45"/>
      <c r="B304" s="119"/>
      <c r="C304" s="111"/>
      <c r="D304" s="107"/>
      <c r="E304" s="267"/>
      <c r="F304" s="270"/>
      <c r="I304" s="306"/>
      <c r="J304" s="306"/>
      <c r="K304" s="306"/>
      <c r="L304" s="306"/>
      <c r="M304" s="306"/>
      <c r="N304" s="306"/>
      <c r="O304" s="306"/>
      <c r="P304" s="306"/>
      <c r="Q304" s="306"/>
      <c r="R304" s="306"/>
      <c r="S304" s="306"/>
      <c r="T304" s="306"/>
      <c r="U304" s="305"/>
      <c r="W304" s="322">
        <f t="shared" si="177"/>
        <v>0</v>
      </c>
    </row>
    <row r="305" spans="1:23" ht="12.75" customHeight="1" x14ac:dyDescent="0.2">
      <c r="A305" s="1092" t="s">
        <v>1002</v>
      </c>
      <c r="B305" s="170"/>
      <c r="C305" s="113"/>
      <c r="D305" s="93"/>
      <c r="E305" s="246"/>
      <c r="F305" s="247"/>
      <c r="H305" s="43" t="s">
        <v>267</v>
      </c>
      <c r="I305" s="302" t="str">
        <f>IF($H305="Monthly",$E305/12,IF($H305="Quarterly (From April)",$E305/4,IF($H305="Termly",$E305/3,IF($H305="Monthly (excl. August)",$E305/11,""))))</f>
        <v/>
      </c>
      <c r="J305" s="302" t="str">
        <f t="shared" ref="J305:K308" si="219">IF($H305="Monthly",$E305/12,IF($H305="Quarterly (From April)",0,IF($H305="Termly",0,IF($H305="Monthly (excl. August)",$E305/11,""))))</f>
        <v/>
      </c>
      <c r="K305" s="302" t="str">
        <f t="shared" si="219"/>
        <v/>
      </c>
      <c r="L305" s="302" t="str">
        <f>IF($H305="Monthly",$E305/12,IF($H305="Quarterly (From April)",$E305/4,IF($H305="Termly",0,IF($H305="Monthly (excl. August)",$E305/11,""))))</f>
        <v/>
      </c>
      <c r="M305" s="302" t="str">
        <f>IF($H305="Monthly",$E305/12,IF($H305="Quarterly (From April)",0,IF($H305="Termly",0,IF($H305="Monthly (excl. August)",0,""))))</f>
        <v/>
      </c>
      <c r="N305" s="302" t="str">
        <f>IF($H305="Monthly",$E305/12,IF($H305="Quarterly (From April)",0,IF($H305="Termly",$E305/3,IF($H305="Monthly (excl. August)",$E305/11,""))))</f>
        <v/>
      </c>
      <c r="O305" s="302" t="str">
        <f>IF($H305="Monthly",$E305/12,IF($H305="Quarterly (From April)",$E305/4,IF($H305="Termly",0,IF($H305="Monthly (excl. August)",$E305/11,""))))</f>
        <v/>
      </c>
      <c r="P305" s="302" t="str">
        <f t="shared" ref="P305:Q308" si="220">IF($H305="Monthly",$E305/12,IF($H305="Quarterly (From April)",0,IF($H305="Termly",0,IF($H305="Monthly (excl. August)",$E305/11,""))))</f>
        <v/>
      </c>
      <c r="Q305" s="302" t="str">
        <f t="shared" si="220"/>
        <v/>
      </c>
      <c r="R305" s="302" t="str">
        <f>IF($H305="Monthly",$E305/12,IF($H305="Quarterly (From April)",$E305/4,IF($H305="Termly",$E305/3,IF($H305="Monthly (excl. August)",$E305/11,""))))</f>
        <v/>
      </c>
      <c r="S305" s="302" t="str">
        <f t="shared" ref="S305:T308" si="221">IF($H305="Monthly",$E305/12,IF($H305="Quarterly (From April)",0,IF($H305="Termly",0,IF($H305="Monthly (excl. August)",$E305/11,""))))</f>
        <v/>
      </c>
      <c r="T305" s="302" t="str">
        <f t="shared" si="221"/>
        <v/>
      </c>
      <c r="U305" s="303">
        <f>E305</f>
        <v>0</v>
      </c>
      <c r="V305" s="214">
        <f>IF(ROUND(SUM(I305:T305),0)&gt;U305,1,IF(ROUND(SUM(I305:T305),0)&lt;U305,1,0))</f>
        <v>0</v>
      </c>
      <c r="W305" s="322">
        <f t="shared" si="177"/>
        <v>0</v>
      </c>
    </row>
    <row r="306" spans="1:23" x14ac:dyDescent="0.2">
      <c r="A306" s="1093"/>
      <c r="B306" s="160"/>
      <c r="C306" s="108"/>
      <c r="D306" s="95"/>
      <c r="E306" s="250"/>
      <c r="F306" s="251"/>
      <c r="H306" s="43" t="s">
        <v>267</v>
      </c>
      <c r="I306" s="302" t="str">
        <f>IF($H306="Monthly",$E306/12,IF($H306="Quarterly (From April)",$E306/4,IF($H306="Termly",$E306/3,IF($H306="Monthly (excl. August)",$E306/11,""))))</f>
        <v/>
      </c>
      <c r="J306" s="302" t="str">
        <f t="shared" si="219"/>
        <v/>
      </c>
      <c r="K306" s="302" t="str">
        <f t="shared" si="219"/>
        <v/>
      </c>
      <c r="L306" s="302" t="str">
        <f>IF($H306="Monthly",$E306/12,IF($H306="Quarterly (From April)",$E306/4,IF($H306="Termly",0,IF($H306="Monthly (excl. August)",$E306/11,""))))</f>
        <v/>
      </c>
      <c r="M306" s="302" t="str">
        <f>IF($H306="Monthly",$E306/12,IF($H306="Quarterly (From April)",0,IF($H306="Termly",0,IF($H306="Monthly (excl. August)",0,""))))</f>
        <v/>
      </c>
      <c r="N306" s="302" t="str">
        <f>IF($H306="Monthly",$E306/12,IF($H306="Quarterly (From April)",0,IF($H306="Termly",$E306/3,IF($H306="Monthly (excl. August)",$E306/11,""))))</f>
        <v/>
      </c>
      <c r="O306" s="302" t="str">
        <f>IF($H306="Monthly",$E306/12,IF($H306="Quarterly (From April)",$E306/4,IF($H306="Termly",0,IF($H306="Monthly (excl. August)",$E306/11,""))))</f>
        <v/>
      </c>
      <c r="P306" s="302" t="str">
        <f t="shared" si="220"/>
        <v/>
      </c>
      <c r="Q306" s="302" t="str">
        <f t="shared" si="220"/>
        <v/>
      </c>
      <c r="R306" s="302" t="str">
        <f>IF($H306="Monthly",$E306/12,IF($H306="Quarterly (From April)",$E306/4,IF($H306="Termly",$E306/3,IF($H306="Monthly (excl. August)",$E306/11,""))))</f>
        <v/>
      </c>
      <c r="S306" s="302" t="str">
        <f t="shared" si="221"/>
        <v/>
      </c>
      <c r="T306" s="302" t="str">
        <f t="shared" si="221"/>
        <v/>
      </c>
      <c r="U306" s="303">
        <f>E306</f>
        <v>0</v>
      </c>
      <c r="V306" s="214">
        <f>IF(ROUND(SUM(I306:T306),0)&gt;U306,1,IF(ROUND(SUM(I306:T306),0)&lt;U306,1,0))</f>
        <v>0</v>
      </c>
      <c r="W306" s="322">
        <f t="shared" ref="W306:W344" si="222">ROUND(SUM(I306:T306)-U306,0)</f>
        <v>0</v>
      </c>
    </row>
    <row r="307" spans="1:23" x14ac:dyDescent="0.2">
      <c r="A307" s="1093"/>
      <c r="B307" s="160"/>
      <c r="C307" s="108"/>
      <c r="D307" s="95"/>
      <c r="E307" s="250"/>
      <c r="F307" s="251"/>
      <c r="H307" s="43" t="s">
        <v>267</v>
      </c>
      <c r="I307" s="302" t="str">
        <f>IF($H307="Monthly",$E307/12,IF($H307="Quarterly (From April)",$E307/4,IF($H307="Termly",$E307/3,IF($H307="Monthly (excl. August)",$E307/11,""))))</f>
        <v/>
      </c>
      <c r="J307" s="302" t="str">
        <f t="shared" si="219"/>
        <v/>
      </c>
      <c r="K307" s="302" t="str">
        <f t="shared" si="219"/>
        <v/>
      </c>
      <c r="L307" s="302" t="str">
        <f>IF($H307="Monthly",$E307/12,IF($H307="Quarterly (From April)",$E307/4,IF($H307="Termly",0,IF($H307="Monthly (excl. August)",$E307/11,""))))</f>
        <v/>
      </c>
      <c r="M307" s="302" t="str">
        <f>IF($H307="Monthly",$E307/12,IF($H307="Quarterly (From April)",0,IF($H307="Termly",0,IF($H307="Monthly (excl. August)",0,""))))</f>
        <v/>
      </c>
      <c r="N307" s="302" t="str">
        <f>IF($H307="Monthly",$E307/12,IF($H307="Quarterly (From April)",0,IF($H307="Termly",$E307/3,IF($H307="Monthly (excl. August)",$E307/11,""))))</f>
        <v/>
      </c>
      <c r="O307" s="302" t="str">
        <f>IF($H307="Monthly",$E307/12,IF($H307="Quarterly (From April)",$E307/4,IF($H307="Termly",0,IF($H307="Monthly (excl. August)",$E307/11,""))))</f>
        <v/>
      </c>
      <c r="P307" s="302" t="str">
        <f t="shared" si="220"/>
        <v/>
      </c>
      <c r="Q307" s="302" t="str">
        <f t="shared" si="220"/>
        <v/>
      </c>
      <c r="R307" s="302" t="str">
        <f>IF($H307="Monthly",$E307/12,IF($H307="Quarterly (From April)",$E307/4,IF($H307="Termly",$E307/3,IF($H307="Monthly (excl. August)",$E307/11,""))))</f>
        <v/>
      </c>
      <c r="S307" s="302" t="str">
        <f t="shared" si="221"/>
        <v/>
      </c>
      <c r="T307" s="302" t="str">
        <f t="shared" si="221"/>
        <v/>
      </c>
      <c r="U307" s="303">
        <f>E307</f>
        <v>0</v>
      </c>
      <c r="V307" s="214">
        <f>IF(ROUND(SUM(I307:T307),0)&gt;U307,1,IF(ROUND(SUM(I307:T307),0)&lt;U307,1,0))</f>
        <v>0</v>
      </c>
      <c r="W307" s="322">
        <f t="shared" si="222"/>
        <v>0</v>
      </c>
    </row>
    <row r="308" spans="1:23" ht="13.5" thickBot="1" x14ac:dyDescent="0.25">
      <c r="A308" s="1094"/>
      <c r="B308" s="161"/>
      <c r="C308" s="109"/>
      <c r="D308" s="100"/>
      <c r="E308" s="256"/>
      <c r="F308" s="257">
        <f>SUM(E305:E308)</f>
        <v>0</v>
      </c>
      <c r="H308" s="43" t="s">
        <v>267</v>
      </c>
      <c r="I308" s="302" t="str">
        <f>IF($H308="Monthly",$E308/12,IF($H308="Quarterly (From April)",$E308/4,IF($H308="Termly",$E308/3,IF($H308="Monthly (excl. August)",$E308/11,""))))</f>
        <v/>
      </c>
      <c r="J308" s="302" t="str">
        <f t="shared" si="219"/>
        <v/>
      </c>
      <c r="K308" s="302" t="str">
        <f t="shared" si="219"/>
        <v/>
      </c>
      <c r="L308" s="302" t="str">
        <f>IF($H308="Monthly",$E308/12,IF($H308="Quarterly (From April)",$E308/4,IF($H308="Termly",0,IF($H308="Monthly (excl. August)",$E308/11,""))))</f>
        <v/>
      </c>
      <c r="M308" s="302" t="str">
        <f>IF($H308="Monthly",$E308/12,IF($H308="Quarterly (From April)",0,IF($H308="Termly",0,IF($H308="Monthly (excl. August)",0,""))))</f>
        <v/>
      </c>
      <c r="N308" s="302" t="str">
        <f>IF($H308="Monthly",$E308/12,IF($H308="Quarterly (From April)",0,IF($H308="Termly",$E308/3,IF($H308="Monthly (excl. August)",$E308/11,""))))</f>
        <v/>
      </c>
      <c r="O308" s="302" t="str">
        <f>IF($H308="Monthly",$E308/12,IF($H308="Quarterly (From April)",$E308/4,IF($H308="Termly",0,IF($H308="Monthly (excl. August)",$E308/11,""))))</f>
        <v/>
      </c>
      <c r="P308" s="302" t="str">
        <f t="shared" si="220"/>
        <v/>
      </c>
      <c r="Q308" s="302" t="str">
        <f t="shared" si="220"/>
        <v/>
      </c>
      <c r="R308" s="302" t="str">
        <f>IF($H308="Monthly",$E308/12,IF($H308="Quarterly (From April)",$E308/4,IF($H308="Termly",$E308/3,IF($H308="Monthly (excl. August)",$E308/11,""))))</f>
        <v/>
      </c>
      <c r="S308" s="302" t="str">
        <f t="shared" si="221"/>
        <v/>
      </c>
      <c r="T308" s="302" t="str">
        <f t="shared" si="221"/>
        <v/>
      </c>
      <c r="U308" s="303">
        <f>E308</f>
        <v>0</v>
      </c>
      <c r="V308" s="214">
        <f>IF(ROUND(SUM(I308:T308),0)&gt;U308,1,IF(ROUND(SUM(I308:T308),0)&lt;U308,1,0))</f>
        <v>0</v>
      </c>
      <c r="W308" s="322">
        <f t="shared" si="222"/>
        <v>0</v>
      </c>
    </row>
    <row r="309" spans="1:23" ht="13.5" thickBot="1" x14ac:dyDescent="0.25">
      <c r="A309" s="41"/>
      <c r="B309" s="117"/>
      <c r="C309" s="101"/>
      <c r="D309" s="102"/>
      <c r="E309" s="259"/>
      <c r="F309" s="260"/>
      <c r="I309" s="306"/>
      <c r="J309" s="306"/>
      <c r="K309" s="306"/>
      <c r="L309" s="306"/>
      <c r="M309" s="306"/>
      <c r="N309" s="306"/>
      <c r="O309" s="306"/>
      <c r="P309" s="306"/>
      <c r="Q309" s="306"/>
      <c r="R309" s="306"/>
      <c r="S309" s="306"/>
      <c r="T309" s="306"/>
      <c r="U309" s="305"/>
      <c r="W309" s="322">
        <f t="shared" si="222"/>
        <v>0</v>
      </c>
    </row>
    <row r="310" spans="1:23" ht="12.75" customHeight="1" x14ac:dyDescent="0.2">
      <c r="A310" s="1092" t="s">
        <v>1002</v>
      </c>
      <c r="B310" s="170"/>
      <c r="C310" s="113"/>
      <c r="D310" s="93"/>
      <c r="E310" s="246"/>
      <c r="F310" s="247"/>
      <c r="H310" s="43" t="s">
        <v>267</v>
      </c>
      <c r="I310" s="302" t="str">
        <f>IF($H310="Monthly",$E310/12,IF($H310="Quarterly (From April)",$E310/4,IF($H310="Termly",$E310/3,IF($H310="Monthly (excl. August)",$E310/11,""))))</f>
        <v/>
      </c>
      <c r="J310" s="302" t="str">
        <f t="shared" ref="J310:K313" si="223">IF($H310="Monthly",$E310/12,IF($H310="Quarterly (From April)",0,IF($H310="Termly",0,IF($H310="Monthly (excl. August)",$E310/11,""))))</f>
        <v/>
      </c>
      <c r="K310" s="302" t="str">
        <f t="shared" si="223"/>
        <v/>
      </c>
      <c r="L310" s="302" t="str">
        <f>IF($H310="Monthly",$E310/12,IF($H310="Quarterly (From April)",$E310/4,IF($H310="Termly",0,IF($H310="Monthly (excl. August)",$E310/11,""))))</f>
        <v/>
      </c>
      <c r="M310" s="302" t="str">
        <f>IF($H310="Monthly",$E310/12,IF($H310="Quarterly (From April)",0,IF($H310="Termly",0,IF($H310="Monthly (excl. August)",0,""))))</f>
        <v/>
      </c>
      <c r="N310" s="302" t="str">
        <f>IF($H310="Monthly",$E310/12,IF($H310="Quarterly (From April)",0,IF($H310="Termly",$E310/3,IF($H310="Monthly (excl. August)",$E310/11,""))))</f>
        <v/>
      </c>
      <c r="O310" s="302" t="str">
        <f>IF($H310="Monthly",$E310/12,IF($H310="Quarterly (From April)",$E310/4,IF($H310="Termly",0,IF($H310="Monthly (excl. August)",$E310/11,""))))</f>
        <v/>
      </c>
      <c r="P310" s="302" t="str">
        <f t="shared" ref="P310:Q313" si="224">IF($H310="Monthly",$E310/12,IF($H310="Quarterly (From April)",0,IF($H310="Termly",0,IF($H310="Monthly (excl. August)",$E310/11,""))))</f>
        <v/>
      </c>
      <c r="Q310" s="302" t="str">
        <f t="shared" si="224"/>
        <v/>
      </c>
      <c r="R310" s="302" t="str">
        <f>IF($H310="Monthly",$E310/12,IF($H310="Quarterly (From April)",$E310/4,IF($H310="Termly",$E310/3,IF($H310="Monthly (excl. August)",$E310/11,""))))</f>
        <v/>
      </c>
      <c r="S310" s="302" t="str">
        <f t="shared" ref="S310:T313" si="225">IF($H310="Monthly",$E310/12,IF($H310="Quarterly (From April)",0,IF($H310="Termly",0,IF($H310="Monthly (excl. August)",$E310/11,""))))</f>
        <v/>
      </c>
      <c r="T310" s="302" t="str">
        <f t="shared" si="225"/>
        <v/>
      </c>
      <c r="U310" s="303">
        <f>E310</f>
        <v>0</v>
      </c>
      <c r="V310" s="214">
        <f>IF(ROUND(SUM(I310:T310),0)&gt;U310,1,IF(ROUND(SUM(I310:T310),0)&lt;U310,1,0))</f>
        <v>0</v>
      </c>
      <c r="W310" s="322">
        <f t="shared" ref="W310:W324" si="226">ROUND(SUM(I310:T310)-U310,0)</f>
        <v>0</v>
      </c>
    </row>
    <row r="311" spans="1:23" x14ac:dyDescent="0.2">
      <c r="A311" s="1093"/>
      <c r="B311" s="160"/>
      <c r="C311" s="108"/>
      <c r="D311" s="95"/>
      <c r="E311" s="250"/>
      <c r="F311" s="251"/>
      <c r="H311" s="43" t="s">
        <v>267</v>
      </c>
      <c r="I311" s="302" t="str">
        <f>IF($H311="Monthly",$E311/12,IF($H311="Quarterly (From April)",$E311/4,IF($H311="Termly",$E311/3,IF($H311="Monthly (excl. August)",$E311/11,""))))</f>
        <v/>
      </c>
      <c r="J311" s="302" t="str">
        <f t="shared" si="223"/>
        <v/>
      </c>
      <c r="K311" s="302" t="str">
        <f t="shared" si="223"/>
        <v/>
      </c>
      <c r="L311" s="302" t="str">
        <f>IF($H311="Monthly",$E311/12,IF($H311="Quarterly (From April)",$E311/4,IF($H311="Termly",0,IF($H311="Monthly (excl. August)",$E311/11,""))))</f>
        <v/>
      </c>
      <c r="M311" s="302" t="str">
        <f>IF($H311="Monthly",$E311/12,IF($H311="Quarterly (From April)",0,IF($H311="Termly",0,IF($H311="Monthly (excl. August)",0,""))))</f>
        <v/>
      </c>
      <c r="N311" s="302" t="str">
        <f>IF($H311="Monthly",$E311/12,IF($H311="Quarterly (From April)",0,IF($H311="Termly",$E311/3,IF($H311="Monthly (excl. August)",$E311/11,""))))</f>
        <v/>
      </c>
      <c r="O311" s="302" t="str">
        <f>IF($H311="Monthly",$E311/12,IF($H311="Quarterly (From April)",$E311/4,IF($H311="Termly",0,IF($H311="Monthly (excl. August)",$E311/11,""))))</f>
        <v/>
      </c>
      <c r="P311" s="302" t="str">
        <f t="shared" si="224"/>
        <v/>
      </c>
      <c r="Q311" s="302" t="str">
        <f t="shared" si="224"/>
        <v/>
      </c>
      <c r="R311" s="302" t="str">
        <f>IF($H311="Monthly",$E311/12,IF($H311="Quarterly (From April)",$E311/4,IF($H311="Termly",$E311/3,IF($H311="Monthly (excl. August)",$E311/11,""))))</f>
        <v/>
      </c>
      <c r="S311" s="302" t="str">
        <f t="shared" si="225"/>
        <v/>
      </c>
      <c r="T311" s="302" t="str">
        <f t="shared" si="225"/>
        <v/>
      </c>
      <c r="U311" s="303">
        <f>E311</f>
        <v>0</v>
      </c>
      <c r="V311" s="214">
        <f>IF(ROUND(SUM(I311:T311),0)&gt;U311,1,IF(ROUND(SUM(I311:T311),0)&lt;U311,1,0))</f>
        <v>0</v>
      </c>
      <c r="W311" s="322">
        <f t="shared" si="226"/>
        <v>0</v>
      </c>
    </row>
    <row r="312" spans="1:23" x14ac:dyDescent="0.2">
      <c r="A312" s="1093"/>
      <c r="B312" s="160"/>
      <c r="C312" s="108"/>
      <c r="D312" s="95"/>
      <c r="E312" s="250"/>
      <c r="F312" s="251"/>
      <c r="H312" s="43" t="s">
        <v>267</v>
      </c>
      <c r="I312" s="302" t="str">
        <f>IF($H312="Monthly",$E312/12,IF($H312="Quarterly (From April)",$E312/4,IF($H312="Termly",$E312/3,IF($H312="Monthly (excl. August)",$E312/11,""))))</f>
        <v/>
      </c>
      <c r="J312" s="302" t="str">
        <f t="shared" si="223"/>
        <v/>
      </c>
      <c r="K312" s="302" t="str">
        <f t="shared" si="223"/>
        <v/>
      </c>
      <c r="L312" s="302" t="str">
        <f>IF($H312="Monthly",$E312/12,IF($H312="Quarterly (From April)",$E312/4,IF($H312="Termly",0,IF($H312="Monthly (excl. August)",$E312/11,""))))</f>
        <v/>
      </c>
      <c r="M312" s="302" t="str">
        <f>IF($H312="Monthly",$E312/12,IF($H312="Quarterly (From April)",0,IF($H312="Termly",0,IF($H312="Monthly (excl. August)",0,""))))</f>
        <v/>
      </c>
      <c r="N312" s="302" t="str">
        <f>IF($H312="Monthly",$E312/12,IF($H312="Quarterly (From April)",0,IF($H312="Termly",$E312/3,IF($H312="Monthly (excl. August)",$E312/11,""))))</f>
        <v/>
      </c>
      <c r="O312" s="302" t="str">
        <f>IF($H312="Monthly",$E312/12,IF($H312="Quarterly (From April)",$E312/4,IF($H312="Termly",0,IF($H312="Monthly (excl. August)",$E312/11,""))))</f>
        <v/>
      </c>
      <c r="P312" s="302" t="str">
        <f t="shared" si="224"/>
        <v/>
      </c>
      <c r="Q312" s="302" t="str">
        <f t="shared" si="224"/>
        <v/>
      </c>
      <c r="R312" s="302" t="str">
        <f>IF($H312="Monthly",$E312/12,IF($H312="Quarterly (From April)",$E312/4,IF($H312="Termly",$E312/3,IF($H312="Monthly (excl. August)",$E312/11,""))))</f>
        <v/>
      </c>
      <c r="S312" s="302" t="str">
        <f t="shared" si="225"/>
        <v/>
      </c>
      <c r="T312" s="302" t="str">
        <f t="shared" si="225"/>
        <v/>
      </c>
      <c r="U312" s="303">
        <f>E312</f>
        <v>0</v>
      </c>
      <c r="V312" s="214">
        <f>IF(ROUND(SUM(I312:T312),0)&gt;U312,1,IF(ROUND(SUM(I312:T312),0)&lt;U312,1,0))</f>
        <v>0</v>
      </c>
      <c r="W312" s="322">
        <f t="shared" si="226"/>
        <v>0</v>
      </c>
    </row>
    <row r="313" spans="1:23" ht="13.5" thickBot="1" x14ac:dyDescent="0.25">
      <c r="A313" s="1094"/>
      <c r="B313" s="161"/>
      <c r="C313" s="109"/>
      <c r="D313" s="100"/>
      <c r="E313" s="256"/>
      <c r="F313" s="257">
        <f>SUM(E310:E313)</f>
        <v>0</v>
      </c>
      <c r="H313" s="43" t="s">
        <v>267</v>
      </c>
      <c r="I313" s="302" t="str">
        <f>IF($H313="Monthly",$E313/12,IF($H313="Quarterly (From April)",$E313/4,IF($H313="Termly",$E313/3,IF($H313="Monthly (excl. August)",$E313/11,""))))</f>
        <v/>
      </c>
      <c r="J313" s="302" t="str">
        <f t="shared" si="223"/>
        <v/>
      </c>
      <c r="K313" s="302" t="str">
        <f t="shared" si="223"/>
        <v/>
      </c>
      <c r="L313" s="302" t="str">
        <f>IF($H313="Monthly",$E313/12,IF($H313="Quarterly (From April)",$E313/4,IF($H313="Termly",0,IF($H313="Monthly (excl. August)",$E313/11,""))))</f>
        <v/>
      </c>
      <c r="M313" s="302" t="str">
        <f>IF($H313="Monthly",$E313/12,IF($H313="Quarterly (From April)",0,IF($H313="Termly",0,IF($H313="Monthly (excl. August)",0,""))))</f>
        <v/>
      </c>
      <c r="N313" s="302" t="str">
        <f>IF($H313="Monthly",$E313/12,IF($H313="Quarterly (From April)",0,IF($H313="Termly",$E313/3,IF($H313="Monthly (excl. August)",$E313/11,""))))</f>
        <v/>
      </c>
      <c r="O313" s="302" t="str">
        <f>IF($H313="Monthly",$E313/12,IF($H313="Quarterly (From April)",$E313/4,IF($H313="Termly",0,IF($H313="Monthly (excl. August)",$E313/11,""))))</f>
        <v/>
      </c>
      <c r="P313" s="302" t="str">
        <f t="shared" si="224"/>
        <v/>
      </c>
      <c r="Q313" s="302" t="str">
        <f t="shared" si="224"/>
        <v/>
      </c>
      <c r="R313" s="302" t="str">
        <f>IF($H313="Monthly",$E313/12,IF($H313="Quarterly (From April)",$E313/4,IF($H313="Termly",$E313/3,IF($H313="Monthly (excl. August)",$E313/11,""))))</f>
        <v/>
      </c>
      <c r="S313" s="302" t="str">
        <f t="shared" si="225"/>
        <v/>
      </c>
      <c r="T313" s="302" t="str">
        <f t="shared" si="225"/>
        <v/>
      </c>
      <c r="U313" s="303">
        <f>E313</f>
        <v>0</v>
      </c>
      <c r="V313" s="214">
        <f>IF(ROUND(SUM(I313:T313),0)&gt;U313,1,IF(ROUND(SUM(I313:T313),0)&lt;U313,1,0))</f>
        <v>0</v>
      </c>
      <c r="W313" s="322">
        <f t="shared" si="226"/>
        <v>0</v>
      </c>
    </row>
    <row r="314" spans="1:23" ht="13.5" thickBot="1" x14ac:dyDescent="0.25">
      <c r="A314" s="41"/>
      <c r="B314" s="117"/>
      <c r="C314" s="101"/>
      <c r="D314" s="102"/>
      <c r="E314" s="259"/>
      <c r="F314" s="260"/>
      <c r="I314" s="306"/>
      <c r="J314" s="306"/>
      <c r="K314" s="306"/>
      <c r="L314" s="306"/>
      <c r="M314" s="306"/>
      <c r="N314" s="306"/>
      <c r="O314" s="306"/>
      <c r="P314" s="306"/>
      <c r="Q314" s="306"/>
      <c r="R314" s="306"/>
      <c r="S314" s="306"/>
      <c r="T314" s="306"/>
      <c r="U314" s="305"/>
      <c r="W314" s="322">
        <f t="shared" si="226"/>
        <v>0</v>
      </c>
    </row>
    <row r="315" spans="1:23" ht="12.75" customHeight="1" x14ac:dyDescent="0.2">
      <c r="A315" s="1092" t="s">
        <v>1002</v>
      </c>
      <c r="B315" s="170"/>
      <c r="C315" s="113"/>
      <c r="D315" s="93"/>
      <c r="E315" s="246"/>
      <c r="F315" s="247"/>
      <c r="H315" s="43" t="s">
        <v>267</v>
      </c>
      <c r="I315" s="302" t="str">
        <f>IF($H315="Monthly",$E315/12,IF($H315="Quarterly (From April)",$E315/4,IF($H315="Termly",$E315/3,IF($H315="Monthly (excl. August)",$E315/11,""))))</f>
        <v/>
      </c>
      <c r="J315" s="302" t="str">
        <f t="shared" ref="J315:K318" si="227">IF($H315="Monthly",$E315/12,IF($H315="Quarterly (From April)",0,IF($H315="Termly",0,IF($H315="Monthly (excl. August)",$E315/11,""))))</f>
        <v/>
      </c>
      <c r="K315" s="302" t="str">
        <f t="shared" si="227"/>
        <v/>
      </c>
      <c r="L315" s="302" t="str">
        <f>IF($H315="Monthly",$E315/12,IF($H315="Quarterly (From April)",$E315/4,IF($H315="Termly",0,IF($H315="Monthly (excl. August)",$E315/11,""))))</f>
        <v/>
      </c>
      <c r="M315" s="302" t="str">
        <f>IF($H315="Monthly",$E315/12,IF($H315="Quarterly (From April)",0,IF($H315="Termly",0,IF($H315="Monthly (excl. August)",0,""))))</f>
        <v/>
      </c>
      <c r="N315" s="302" t="str">
        <f>IF($H315="Monthly",$E315/12,IF($H315="Quarterly (From April)",0,IF($H315="Termly",$E315/3,IF($H315="Monthly (excl. August)",$E315/11,""))))</f>
        <v/>
      </c>
      <c r="O315" s="302" t="str">
        <f>IF($H315="Monthly",$E315/12,IF($H315="Quarterly (From April)",$E315/4,IF($H315="Termly",0,IF($H315="Monthly (excl. August)",$E315/11,""))))</f>
        <v/>
      </c>
      <c r="P315" s="302" t="str">
        <f t="shared" ref="P315:Q318" si="228">IF($H315="Monthly",$E315/12,IF($H315="Quarterly (From April)",0,IF($H315="Termly",0,IF($H315="Monthly (excl. August)",$E315/11,""))))</f>
        <v/>
      </c>
      <c r="Q315" s="302" t="str">
        <f t="shared" si="228"/>
        <v/>
      </c>
      <c r="R315" s="302" t="str">
        <f>IF($H315="Monthly",$E315/12,IF($H315="Quarterly (From April)",$E315/4,IF($H315="Termly",$E315/3,IF($H315="Monthly (excl. August)",$E315/11,""))))</f>
        <v/>
      </c>
      <c r="S315" s="302" t="str">
        <f t="shared" ref="S315:T318" si="229">IF($H315="Monthly",$E315/12,IF($H315="Quarterly (From April)",0,IF($H315="Termly",0,IF($H315="Monthly (excl. August)",$E315/11,""))))</f>
        <v/>
      </c>
      <c r="T315" s="302" t="str">
        <f t="shared" si="229"/>
        <v/>
      </c>
      <c r="U315" s="303">
        <f>E315</f>
        <v>0</v>
      </c>
      <c r="V315" s="214">
        <f>IF(ROUND(SUM(I315:T315),0)&gt;U315,1,IF(ROUND(SUM(I315:T315),0)&lt;U315,1,0))</f>
        <v>0</v>
      </c>
      <c r="W315" s="322">
        <f t="shared" si="226"/>
        <v>0</v>
      </c>
    </row>
    <row r="316" spans="1:23" x14ac:dyDescent="0.2">
      <c r="A316" s="1093"/>
      <c r="B316" s="160"/>
      <c r="C316" s="108"/>
      <c r="D316" s="95"/>
      <c r="E316" s="250"/>
      <c r="F316" s="251"/>
      <c r="H316" s="43" t="s">
        <v>267</v>
      </c>
      <c r="I316" s="302" t="str">
        <f>IF($H316="Monthly",$E316/12,IF($H316="Quarterly (From April)",$E316/4,IF($H316="Termly",$E316/3,IF($H316="Monthly (excl. August)",$E316/11,""))))</f>
        <v/>
      </c>
      <c r="J316" s="302" t="str">
        <f t="shared" si="227"/>
        <v/>
      </c>
      <c r="K316" s="302" t="str">
        <f t="shared" si="227"/>
        <v/>
      </c>
      <c r="L316" s="302" t="str">
        <f>IF($H316="Monthly",$E316/12,IF($H316="Quarterly (From April)",$E316/4,IF($H316="Termly",0,IF($H316="Monthly (excl. August)",$E316/11,""))))</f>
        <v/>
      </c>
      <c r="M316" s="302" t="str">
        <f>IF($H316="Monthly",$E316/12,IF($H316="Quarterly (From April)",0,IF($H316="Termly",0,IF($H316="Monthly (excl. August)",0,""))))</f>
        <v/>
      </c>
      <c r="N316" s="302" t="str">
        <f>IF($H316="Monthly",$E316/12,IF($H316="Quarterly (From April)",0,IF($H316="Termly",$E316/3,IF($H316="Monthly (excl. August)",$E316/11,""))))</f>
        <v/>
      </c>
      <c r="O316" s="302" t="str">
        <f>IF($H316="Monthly",$E316/12,IF($H316="Quarterly (From April)",$E316/4,IF($H316="Termly",0,IF($H316="Monthly (excl. August)",$E316/11,""))))</f>
        <v/>
      </c>
      <c r="P316" s="302" t="str">
        <f t="shared" si="228"/>
        <v/>
      </c>
      <c r="Q316" s="302" t="str">
        <f t="shared" si="228"/>
        <v/>
      </c>
      <c r="R316" s="302" t="str">
        <f>IF($H316="Monthly",$E316/12,IF($H316="Quarterly (From April)",$E316/4,IF($H316="Termly",$E316/3,IF($H316="Monthly (excl. August)",$E316/11,""))))</f>
        <v/>
      </c>
      <c r="S316" s="302" t="str">
        <f t="shared" si="229"/>
        <v/>
      </c>
      <c r="T316" s="302" t="str">
        <f t="shared" si="229"/>
        <v/>
      </c>
      <c r="U316" s="303">
        <f>E316</f>
        <v>0</v>
      </c>
      <c r="V316" s="214">
        <f>IF(ROUND(SUM(I316:T316),0)&gt;U316,1,IF(ROUND(SUM(I316:T316),0)&lt;U316,1,0))</f>
        <v>0</v>
      </c>
      <c r="W316" s="322">
        <f t="shared" si="226"/>
        <v>0</v>
      </c>
    </row>
    <row r="317" spans="1:23" x14ac:dyDescent="0.2">
      <c r="A317" s="1093"/>
      <c r="B317" s="160"/>
      <c r="C317" s="108"/>
      <c r="D317" s="95"/>
      <c r="E317" s="250"/>
      <c r="F317" s="251"/>
      <c r="H317" s="43" t="s">
        <v>267</v>
      </c>
      <c r="I317" s="302" t="str">
        <f>IF($H317="Monthly",$E317/12,IF($H317="Quarterly (From April)",$E317/4,IF($H317="Termly",$E317/3,IF($H317="Monthly (excl. August)",$E317/11,""))))</f>
        <v/>
      </c>
      <c r="J317" s="302" t="str">
        <f t="shared" si="227"/>
        <v/>
      </c>
      <c r="K317" s="302" t="str">
        <f t="shared" si="227"/>
        <v/>
      </c>
      <c r="L317" s="302" t="str">
        <f>IF($H317="Monthly",$E317/12,IF($H317="Quarterly (From April)",$E317/4,IF($H317="Termly",0,IF($H317="Monthly (excl. August)",$E317/11,""))))</f>
        <v/>
      </c>
      <c r="M317" s="302" t="str">
        <f>IF($H317="Monthly",$E317/12,IF($H317="Quarterly (From April)",0,IF($H317="Termly",0,IF($H317="Monthly (excl. August)",0,""))))</f>
        <v/>
      </c>
      <c r="N317" s="302" t="str">
        <f>IF($H317="Monthly",$E317/12,IF($H317="Quarterly (From April)",0,IF($H317="Termly",$E317/3,IF($H317="Monthly (excl. August)",$E317/11,""))))</f>
        <v/>
      </c>
      <c r="O317" s="302" t="str">
        <f>IF($H317="Monthly",$E317/12,IF($H317="Quarterly (From April)",$E317/4,IF($H317="Termly",0,IF($H317="Monthly (excl. August)",$E317/11,""))))</f>
        <v/>
      </c>
      <c r="P317" s="302" t="str">
        <f t="shared" si="228"/>
        <v/>
      </c>
      <c r="Q317" s="302" t="str">
        <f t="shared" si="228"/>
        <v/>
      </c>
      <c r="R317" s="302" t="str">
        <f>IF($H317="Monthly",$E317/12,IF($H317="Quarterly (From April)",$E317/4,IF($H317="Termly",$E317/3,IF($H317="Monthly (excl. August)",$E317/11,""))))</f>
        <v/>
      </c>
      <c r="S317" s="302" t="str">
        <f t="shared" si="229"/>
        <v/>
      </c>
      <c r="T317" s="302" t="str">
        <f t="shared" si="229"/>
        <v/>
      </c>
      <c r="U317" s="303">
        <f>E317</f>
        <v>0</v>
      </c>
      <c r="V317" s="214">
        <f>IF(ROUND(SUM(I317:T317),0)&gt;U317,1,IF(ROUND(SUM(I317:T317),0)&lt;U317,1,0))</f>
        <v>0</v>
      </c>
      <c r="W317" s="322">
        <f t="shared" si="226"/>
        <v>0</v>
      </c>
    </row>
    <row r="318" spans="1:23" ht="13.5" thickBot="1" x14ac:dyDescent="0.25">
      <c r="A318" s="1094"/>
      <c r="B318" s="161"/>
      <c r="C318" s="109"/>
      <c r="D318" s="100"/>
      <c r="E318" s="256"/>
      <c r="F318" s="257">
        <f>SUM(E315:E318)</f>
        <v>0</v>
      </c>
      <c r="H318" s="43" t="s">
        <v>267</v>
      </c>
      <c r="I318" s="302" t="str">
        <f>IF($H318="Monthly",$E318/12,IF($H318="Quarterly (From April)",$E318/4,IF($H318="Termly",$E318/3,IF($H318="Monthly (excl. August)",$E318/11,""))))</f>
        <v/>
      </c>
      <c r="J318" s="302" t="str">
        <f t="shared" si="227"/>
        <v/>
      </c>
      <c r="K318" s="302" t="str">
        <f t="shared" si="227"/>
        <v/>
      </c>
      <c r="L318" s="302" t="str">
        <f>IF($H318="Monthly",$E318/12,IF($H318="Quarterly (From April)",$E318/4,IF($H318="Termly",0,IF($H318="Monthly (excl. August)",$E318/11,""))))</f>
        <v/>
      </c>
      <c r="M318" s="302" t="str">
        <f>IF($H318="Monthly",$E318/12,IF($H318="Quarterly (From April)",0,IF($H318="Termly",0,IF($H318="Monthly (excl. August)",0,""))))</f>
        <v/>
      </c>
      <c r="N318" s="302" t="str">
        <f>IF($H318="Monthly",$E318/12,IF($H318="Quarterly (From April)",0,IF($H318="Termly",$E318/3,IF($H318="Monthly (excl. August)",$E318/11,""))))</f>
        <v/>
      </c>
      <c r="O318" s="302" t="str">
        <f>IF($H318="Monthly",$E318/12,IF($H318="Quarterly (From April)",$E318/4,IF($H318="Termly",0,IF($H318="Monthly (excl. August)",$E318/11,""))))</f>
        <v/>
      </c>
      <c r="P318" s="302" t="str">
        <f t="shared" si="228"/>
        <v/>
      </c>
      <c r="Q318" s="302" t="str">
        <f t="shared" si="228"/>
        <v/>
      </c>
      <c r="R318" s="302" t="str">
        <f>IF($H318="Monthly",$E318/12,IF($H318="Quarterly (From April)",$E318/4,IF($H318="Termly",$E318/3,IF($H318="Monthly (excl. August)",$E318/11,""))))</f>
        <v/>
      </c>
      <c r="S318" s="302" t="str">
        <f t="shared" si="229"/>
        <v/>
      </c>
      <c r="T318" s="302" t="str">
        <f t="shared" si="229"/>
        <v/>
      </c>
      <c r="U318" s="303">
        <f>E318</f>
        <v>0</v>
      </c>
      <c r="V318" s="214">
        <f>IF(ROUND(SUM(I318:T318),0)&gt;U318,1,IF(ROUND(SUM(I318:T318),0)&lt;U318,1,0))</f>
        <v>0</v>
      </c>
      <c r="W318" s="322">
        <f t="shared" si="226"/>
        <v>0</v>
      </c>
    </row>
    <row r="319" spans="1:23" ht="13.5" thickBot="1" x14ac:dyDescent="0.25">
      <c r="A319" s="45"/>
      <c r="B319" s="119"/>
      <c r="C319" s="111"/>
      <c r="D319" s="107"/>
      <c r="E319" s="267"/>
      <c r="F319" s="270"/>
      <c r="I319" s="306"/>
      <c r="J319" s="306"/>
      <c r="K319" s="306"/>
      <c r="L319" s="306"/>
      <c r="M319" s="306"/>
      <c r="N319" s="306"/>
      <c r="O319" s="306"/>
      <c r="P319" s="306"/>
      <c r="Q319" s="306"/>
      <c r="R319" s="306"/>
      <c r="S319" s="306"/>
      <c r="T319" s="306"/>
      <c r="U319" s="305"/>
      <c r="W319" s="322">
        <f t="shared" si="226"/>
        <v>0</v>
      </c>
    </row>
    <row r="320" spans="1:23" ht="12.75" customHeight="1" x14ac:dyDescent="0.2">
      <c r="A320" s="1092" t="s">
        <v>1002</v>
      </c>
      <c r="B320" s="170"/>
      <c r="C320" s="113"/>
      <c r="D320" s="93"/>
      <c r="E320" s="246"/>
      <c r="F320" s="247"/>
      <c r="H320" s="43" t="s">
        <v>267</v>
      </c>
      <c r="I320" s="302" t="str">
        <f>IF($H320="Monthly",$E320/12,IF($H320="Quarterly (From April)",$E320/4,IF($H320="Termly",$E320/3,IF($H320="Monthly (excl. August)",$E320/11,""))))</f>
        <v/>
      </c>
      <c r="J320" s="302" t="str">
        <f t="shared" ref="J320:K323" si="230">IF($H320="Monthly",$E320/12,IF($H320="Quarterly (From April)",0,IF($H320="Termly",0,IF($H320="Monthly (excl. August)",$E320/11,""))))</f>
        <v/>
      </c>
      <c r="K320" s="302" t="str">
        <f t="shared" si="230"/>
        <v/>
      </c>
      <c r="L320" s="302" t="str">
        <f>IF($H320="Monthly",$E320/12,IF($H320="Quarterly (From April)",$E320/4,IF($H320="Termly",0,IF($H320="Monthly (excl. August)",$E320/11,""))))</f>
        <v/>
      </c>
      <c r="M320" s="302" t="str">
        <f>IF($H320="Monthly",$E320/12,IF($H320="Quarterly (From April)",0,IF($H320="Termly",0,IF($H320="Monthly (excl. August)",0,""))))</f>
        <v/>
      </c>
      <c r="N320" s="302" t="str">
        <f>IF($H320="Monthly",$E320/12,IF($H320="Quarterly (From April)",0,IF($H320="Termly",$E320/3,IF($H320="Monthly (excl. August)",$E320/11,""))))</f>
        <v/>
      </c>
      <c r="O320" s="302" t="str">
        <f>IF($H320="Monthly",$E320/12,IF($H320="Quarterly (From April)",$E320/4,IF($H320="Termly",0,IF($H320="Monthly (excl. August)",$E320/11,""))))</f>
        <v/>
      </c>
      <c r="P320" s="302" t="str">
        <f t="shared" ref="P320:Q323" si="231">IF($H320="Monthly",$E320/12,IF($H320="Quarterly (From April)",0,IF($H320="Termly",0,IF($H320="Monthly (excl. August)",$E320/11,""))))</f>
        <v/>
      </c>
      <c r="Q320" s="302" t="str">
        <f t="shared" si="231"/>
        <v/>
      </c>
      <c r="R320" s="302" t="str">
        <f>IF($H320="Monthly",$E320/12,IF($H320="Quarterly (From April)",$E320/4,IF($H320="Termly",$E320/3,IF($H320="Monthly (excl. August)",$E320/11,""))))</f>
        <v/>
      </c>
      <c r="S320" s="302" t="str">
        <f t="shared" ref="S320:T323" si="232">IF($H320="Monthly",$E320/12,IF($H320="Quarterly (From April)",0,IF($H320="Termly",0,IF($H320="Monthly (excl. August)",$E320/11,""))))</f>
        <v/>
      </c>
      <c r="T320" s="302" t="str">
        <f t="shared" si="232"/>
        <v/>
      </c>
      <c r="U320" s="303">
        <f>E320</f>
        <v>0</v>
      </c>
      <c r="V320" s="214">
        <f>IF(ROUND(SUM(I320:T320),0)&gt;U320,1,IF(ROUND(SUM(I320:T320),0)&lt;U320,1,0))</f>
        <v>0</v>
      </c>
      <c r="W320" s="322">
        <f t="shared" si="226"/>
        <v>0</v>
      </c>
    </row>
    <row r="321" spans="1:23" x14ac:dyDescent="0.2">
      <c r="A321" s="1093"/>
      <c r="B321" s="160"/>
      <c r="C321" s="108"/>
      <c r="D321" s="95"/>
      <c r="E321" s="250"/>
      <c r="F321" s="251"/>
      <c r="H321" s="43" t="s">
        <v>267</v>
      </c>
      <c r="I321" s="302" t="str">
        <f>IF($H321="Monthly",$E321/12,IF($H321="Quarterly (From April)",$E321/4,IF($H321="Termly",$E321/3,IF($H321="Monthly (excl. August)",$E321/11,""))))</f>
        <v/>
      </c>
      <c r="J321" s="302" t="str">
        <f t="shared" si="230"/>
        <v/>
      </c>
      <c r="K321" s="302" t="str">
        <f t="shared" si="230"/>
        <v/>
      </c>
      <c r="L321" s="302" t="str">
        <f>IF($H321="Monthly",$E321/12,IF($H321="Quarterly (From April)",$E321/4,IF($H321="Termly",0,IF($H321="Monthly (excl. August)",$E321/11,""))))</f>
        <v/>
      </c>
      <c r="M321" s="302" t="str">
        <f>IF($H321="Monthly",$E321/12,IF($H321="Quarterly (From April)",0,IF($H321="Termly",0,IF($H321="Monthly (excl. August)",0,""))))</f>
        <v/>
      </c>
      <c r="N321" s="302" t="str">
        <f>IF($H321="Monthly",$E321/12,IF($H321="Quarterly (From April)",0,IF($H321="Termly",$E321/3,IF($H321="Monthly (excl. August)",$E321/11,""))))</f>
        <v/>
      </c>
      <c r="O321" s="302" t="str">
        <f>IF($H321="Monthly",$E321/12,IF($H321="Quarterly (From April)",$E321/4,IF($H321="Termly",0,IF($H321="Monthly (excl. August)",$E321/11,""))))</f>
        <v/>
      </c>
      <c r="P321" s="302" t="str">
        <f t="shared" si="231"/>
        <v/>
      </c>
      <c r="Q321" s="302" t="str">
        <f t="shared" si="231"/>
        <v/>
      </c>
      <c r="R321" s="302" t="str">
        <f>IF($H321="Monthly",$E321/12,IF($H321="Quarterly (From April)",$E321/4,IF($H321="Termly",$E321/3,IF($H321="Monthly (excl. August)",$E321/11,""))))</f>
        <v/>
      </c>
      <c r="S321" s="302" t="str">
        <f t="shared" si="232"/>
        <v/>
      </c>
      <c r="T321" s="302" t="str">
        <f t="shared" si="232"/>
        <v/>
      </c>
      <c r="U321" s="303">
        <f>E321</f>
        <v>0</v>
      </c>
      <c r="V321" s="214">
        <f>IF(ROUND(SUM(I321:T321),0)&gt;U321,1,IF(ROUND(SUM(I321:T321),0)&lt;U321,1,0))</f>
        <v>0</v>
      </c>
      <c r="W321" s="322">
        <f t="shared" si="226"/>
        <v>0</v>
      </c>
    </row>
    <row r="322" spans="1:23" x14ac:dyDescent="0.2">
      <c r="A322" s="1093"/>
      <c r="B322" s="160"/>
      <c r="C322" s="108"/>
      <c r="D322" s="95"/>
      <c r="E322" s="250"/>
      <c r="F322" s="251"/>
      <c r="H322" s="43" t="s">
        <v>267</v>
      </c>
      <c r="I322" s="302" t="str">
        <f>IF($H322="Monthly",$E322/12,IF($H322="Quarterly (From April)",$E322/4,IF($H322="Termly",$E322/3,IF($H322="Monthly (excl. August)",$E322/11,""))))</f>
        <v/>
      </c>
      <c r="J322" s="302" t="str">
        <f t="shared" si="230"/>
        <v/>
      </c>
      <c r="K322" s="302" t="str">
        <f t="shared" si="230"/>
        <v/>
      </c>
      <c r="L322" s="302" t="str">
        <f>IF($H322="Monthly",$E322/12,IF($H322="Quarterly (From April)",$E322/4,IF($H322="Termly",0,IF($H322="Monthly (excl. August)",$E322/11,""))))</f>
        <v/>
      </c>
      <c r="M322" s="302" t="str">
        <f>IF($H322="Monthly",$E322/12,IF($H322="Quarterly (From April)",0,IF($H322="Termly",0,IF($H322="Monthly (excl. August)",0,""))))</f>
        <v/>
      </c>
      <c r="N322" s="302" t="str">
        <f>IF($H322="Monthly",$E322/12,IF($H322="Quarterly (From April)",0,IF($H322="Termly",$E322/3,IF($H322="Monthly (excl. August)",$E322/11,""))))</f>
        <v/>
      </c>
      <c r="O322" s="302" t="str">
        <f>IF($H322="Monthly",$E322/12,IF($H322="Quarterly (From April)",$E322/4,IF($H322="Termly",0,IF($H322="Monthly (excl. August)",$E322/11,""))))</f>
        <v/>
      </c>
      <c r="P322" s="302" t="str">
        <f t="shared" si="231"/>
        <v/>
      </c>
      <c r="Q322" s="302" t="str">
        <f t="shared" si="231"/>
        <v/>
      </c>
      <c r="R322" s="302" t="str">
        <f>IF($H322="Monthly",$E322/12,IF($H322="Quarterly (From April)",$E322/4,IF($H322="Termly",$E322/3,IF($H322="Monthly (excl. August)",$E322/11,""))))</f>
        <v/>
      </c>
      <c r="S322" s="302" t="str">
        <f t="shared" si="232"/>
        <v/>
      </c>
      <c r="T322" s="302" t="str">
        <f t="shared" si="232"/>
        <v/>
      </c>
      <c r="U322" s="303">
        <f>E322</f>
        <v>0</v>
      </c>
      <c r="V322" s="214">
        <f>IF(ROUND(SUM(I322:T322),0)&gt;U322,1,IF(ROUND(SUM(I322:T322),0)&lt;U322,1,0))</f>
        <v>0</v>
      </c>
      <c r="W322" s="322">
        <f t="shared" si="226"/>
        <v>0</v>
      </c>
    </row>
    <row r="323" spans="1:23" ht="13.5" thickBot="1" x14ac:dyDescent="0.25">
      <c r="A323" s="1094"/>
      <c r="B323" s="161"/>
      <c r="C323" s="109"/>
      <c r="D323" s="100"/>
      <c r="E323" s="256"/>
      <c r="F323" s="257">
        <f>SUM(E320:E323)</f>
        <v>0</v>
      </c>
      <c r="H323" s="43" t="s">
        <v>267</v>
      </c>
      <c r="I323" s="302" t="str">
        <f>IF($H323="Monthly",$E323/12,IF($H323="Quarterly (From April)",$E323/4,IF($H323="Termly",$E323/3,IF($H323="Monthly (excl. August)",$E323/11,""))))</f>
        <v/>
      </c>
      <c r="J323" s="302" t="str">
        <f t="shared" si="230"/>
        <v/>
      </c>
      <c r="K323" s="302" t="str">
        <f t="shared" si="230"/>
        <v/>
      </c>
      <c r="L323" s="302" t="str">
        <f>IF($H323="Monthly",$E323/12,IF($H323="Quarterly (From April)",$E323/4,IF($H323="Termly",0,IF($H323="Monthly (excl. August)",$E323/11,""))))</f>
        <v/>
      </c>
      <c r="M323" s="302" t="str">
        <f>IF($H323="Monthly",$E323/12,IF($H323="Quarterly (From April)",0,IF($H323="Termly",0,IF($H323="Monthly (excl. August)",0,""))))</f>
        <v/>
      </c>
      <c r="N323" s="302" t="str">
        <f>IF($H323="Monthly",$E323/12,IF($H323="Quarterly (From April)",0,IF($H323="Termly",$E323/3,IF($H323="Monthly (excl. August)",$E323/11,""))))</f>
        <v/>
      </c>
      <c r="O323" s="302" t="str">
        <f>IF($H323="Monthly",$E323/12,IF($H323="Quarterly (From April)",$E323/4,IF($H323="Termly",0,IF($H323="Monthly (excl. August)",$E323/11,""))))</f>
        <v/>
      </c>
      <c r="P323" s="302" t="str">
        <f t="shared" si="231"/>
        <v/>
      </c>
      <c r="Q323" s="302" t="str">
        <f t="shared" si="231"/>
        <v/>
      </c>
      <c r="R323" s="302" t="str">
        <f>IF($H323="Monthly",$E323/12,IF($H323="Quarterly (From April)",$E323/4,IF($H323="Termly",$E323/3,IF($H323="Monthly (excl. August)",$E323/11,""))))</f>
        <v/>
      </c>
      <c r="S323" s="302" t="str">
        <f t="shared" si="232"/>
        <v/>
      </c>
      <c r="T323" s="302" t="str">
        <f t="shared" si="232"/>
        <v/>
      </c>
      <c r="U323" s="303">
        <f>E323</f>
        <v>0</v>
      </c>
      <c r="V323" s="214">
        <f>IF(ROUND(SUM(I323:T323),0)&gt;U323,1,IF(ROUND(SUM(I323:T323),0)&lt;U323,1,0))</f>
        <v>0</v>
      </c>
      <c r="W323" s="322">
        <f t="shared" si="226"/>
        <v>0</v>
      </c>
    </row>
    <row r="324" spans="1:23" ht="13.5" thickBot="1" x14ac:dyDescent="0.25">
      <c r="A324" s="45"/>
      <c r="B324" s="119"/>
      <c r="C324" s="111"/>
      <c r="D324" s="107"/>
      <c r="E324" s="267"/>
      <c r="F324" s="270"/>
      <c r="I324" s="306"/>
      <c r="J324" s="306"/>
      <c r="K324" s="306"/>
      <c r="L324" s="306"/>
      <c r="M324" s="306"/>
      <c r="N324" s="306"/>
      <c r="O324" s="306"/>
      <c r="P324" s="306"/>
      <c r="Q324" s="306"/>
      <c r="R324" s="306"/>
      <c r="S324" s="306"/>
      <c r="T324" s="306"/>
      <c r="U324" s="305"/>
      <c r="W324" s="322">
        <f t="shared" si="226"/>
        <v>0</v>
      </c>
    </row>
    <row r="325" spans="1:23" x14ac:dyDescent="0.2">
      <c r="A325" s="921" t="s">
        <v>505</v>
      </c>
      <c r="B325" s="156">
        <v>3103</v>
      </c>
      <c r="C325" s="113" t="s">
        <v>599</v>
      </c>
      <c r="D325" s="93"/>
      <c r="E325" s="246"/>
      <c r="F325" s="247"/>
      <c r="H325" s="43" t="s">
        <v>267</v>
      </c>
      <c r="I325" s="302" t="str">
        <f>IF($H325="Monthly",$E325/12,IF($H325="Quarterly (From April)",$E325/4,IF($H325="Termly",$E325/3,IF($H325="Monthly (excl. August)",$E325/11,""))))</f>
        <v/>
      </c>
      <c r="J325" s="302" t="str">
        <f t="shared" ref="J325:K328" si="233">IF($H325="Monthly",$E325/12,IF($H325="Quarterly (From April)",0,IF($H325="Termly",0,IF($H325="Monthly (excl. August)",$E325/11,""))))</f>
        <v/>
      </c>
      <c r="K325" s="302" t="str">
        <f t="shared" si="233"/>
        <v/>
      </c>
      <c r="L325" s="302" t="str">
        <f>IF($H325="Monthly",$E325/12,IF($H325="Quarterly (From April)",$E325/4,IF($H325="Termly",0,IF($H325="Monthly (excl. August)",$E325/11,""))))</f>
        <v/>
      </c>
      <c r="M325" s="302" t="str">
        <f>IF($H325="Monthly",$E325/12,IF($H325="Quarterly (From April)",0,IF($H325="Termly",0,IF($H325="Monthly (excl. August)",0,""))))</f>
        <v/>
      </c>
      <c r="N325" s="302" t="str">
        <f>IF($H325="Monthly",$E325/12,IF($H325="Quarterly (From April)",0,IF($H325="Termly",$E325/3,IF($H325="Monthly (excl. August)",$E325/11,""))))</f>
        <v/>
      </c>
      <c r="O325" s="302" t="str">
        <f>IF($H325="Monthly",$E325/12,IF($H325="Quarterly (From April)",$E325/4,IF($H325="Termly",0,IF($H325="Monthly (excl. August)",$E325/11,""))))</f>
        <v/>
      </c>
      <c r="P325" s="302" t="str">
        <f t="shared" ref="P325:Q328" si="234">IF($H325="Monthly",$E325/12,IF($H325="Quarterly (From April)",0,IF($H325="Termly",0,IF($H325="Monthly (excl. August)",$E325/11,""))))</f>
        <v/>
      </c>
      <c r="Q325" s="302" t="str">
        <f t="shared" si="234"/>
        <v/>
      </c>
      <c r="R325" s="302" t="str">
        <f>IF($H325="Monthly",$E325/12,IF($H325="Quarterly (From April)",$E325/4,IF($H325="Termly",$E325/3,IF($H325="Monthly (excl. August)",$E325/11,""))))</f>
        <v/>
      </c>
      <c r="S325" s="302" t="str">
        <f t="shared" ref="S325:T328" si="235">IF($H325="Monthly",$E325/12,IF($H325="Quarterly (From April)",0,IF($H325="Termly",0,IF($H325="Monthly (excl. August)",$E325/11,""))))</f>
        <v/>
      </c>
      <c r="T325" s="302" t="str">
        <f t="shared" si="235"/>
        <v/>
      </c>
      <c r="U325" s="303">
        <f>E325</f>
        <v>0</v>
      </c>
      <c r="V325" s="214">
        <f>IF(ROUND(SUM(I325:T325),0)&gt;U325,1,IF(ROUND(SUM(I325:T325),0)&lt;U325,1,0))</f>
        <v>0</v>
      </c>
      <c r="W325" s="322">
        <f t="shared" si="222"/>
        <v>0</v>
      </c>
    </row>
    <row r="326" spans="1:23" x14ac:dyDescent="0.2">
      <c r="A326" s="1102"/>
      <c r="B326" s="163">
        <v>3105</v>
      </c>
      <c r="C326" s="114" t="s">
        <v>600</v>
      </c>
      <c r="D326" s="94" t="s">
        <v>1052</v>
      </c>
      <c r="E326" s="248">
        <v>167</v>
      </c>
      <c r="F326" s="249"/>
      <c r="H326" s="43" t="s">
        <v>293</v>
      </c>
      <c r="I326" s="302">
        <f>IF($H326="Monthly",$E326/12,IF($H326="Quarterly (From April)",$E326/4,IF($H326="Termly",$E326/3,IF($H326="Monthly (excl. August)",$E326/11,""))))</f>
        <v>55.666666666666664</v>
      </c>
      <c r="J326" s="302">
        <f t="shared" si="233"/>
        <v>0</v>
      </c>
      <c r="K326" s="302">
        <f t="shared" si="233"/>
        <v>0</v>
      </c>
      <c r="L326" s="302">
        <f>IF($H326="Monthly",$E326/12,IF($H326="Quarterly (From April)",$E326/4,IF($H326="Termly",0,IF($H326="Monthly (excl. August)",$E326/11,""))))</f>
        <v>0</v>
      </c>
      <c r="M326" s="302">
        <f>IF($H326="Monthly",$E326/12,IF($H326="Quarterly (From April)",0,IF($H326="Termly",0,IF($H326="Monthly (excl. August)",0,""))))</f>
        <v>0</v>
      </c>
      <c r="N326" s="302">
        <f>IF($H326="Monthly",$E326/12,IF($H326="Quarterly (From April)",0,IF($H326="Termly",$E326/3,IF($H326="Monthly (excl. August)",$E326/11,""))))</f>
        <v>55.666666666666664</v>
      </c>
      <c r="O326" s="302">
        <f>IF($H326="Monthly",$E326/12,IF($H326="Quarterly (From April)",$E326/4,IF($H326="Termly",0,IF($H326="Monthly (excl. August)",$E326/11,""))))</f>
        <v>0</v>
      </c>
      <c r="P326" s="302">
        <f t="shared" si="234"/>
        <v>0</v>
      </c>
      <c r="Q326" s="302">
        <f t="shared" si="234"/>
        <v>0</v>
      </c>
      <c r="R326" s="302">
        <f>IF($H326="Monthly",$E326/12,IF($H326="Quarterly (From April)",$E326/4,IF($H326="Termly",$E326/3,IF($H326="Monthly (excl. August)",$E326/11,""))))</f>
        <v>55.666666666666664</v>
      </c>
      <c r="S326" s="302">
        <f t="shared" si="235"/>
        <v>0</v>
      </c>
      <c r="T326" s="302">
        <f t="shared" si="235"/>
        <v>0</v>
      </c>
      <c r="U326" s="303">
        <f>E326</f>
        <v>167</v>
      </c>
      <c r="V326" s="214">
        <f>IF(ROUND(SUM(I326:T326),0)&gt;U326,1,IF(ROUND(SUM(I326:T326),0)&lt;U326,1,0))</f>
        <v>0</v>
      </c>
      <c r="W326" s="322">
        <f t="shared" si="222"/>
        <v>0</v>
      </c>
    </row>
    <row r="327" spans="1:23" x14ac:dyDescent="0.2">
      <c r="A327" s="1103"/>
      <c r="B327" s="157">
        <v>4110</v>
      </c>
      <c r="C327" s="108" t="s">
        <v>755</v>
      </c>
      <c r="D327" s="95"/>
      <c r="E327" s="250"/>
      <c r="F327" s="251"/>
      <c r="H327" s="43" t="s">
        <v>267</v>
      </c>
      <c r="I327" s="302" t="str">
        <f>IF($H327="Monthly",$E327/12,IF($H327="Quarterly (From April)",$E327/4,IF($H327="Termly",$E327/3,IF($H327="Monthly (excl. August)",$E327/11,""))))</f>
        <v/>
      </c>
      <c r="J327" s="302" t="str">
        <f t="shared" si="233"/>
        <v/>
      </c>
      <c r="K327" s="302" t="str">
        <f t="shared" si="233"/>
        <v/>
      </c>
      <c r="L327" s="302" t="str">
        <f>IF($H327="Monthly",$E327/12,IF($H327="Quarterly (From April)",$E327/4,IF($H327="Termly",0,IF($H327="Monthly (excl. August)",$E327/11,""))))</f>
        <v/>
      </c>
      <c r="M327" s="302" t="str">
        <f>IF($H327="Monthly",$E327/12,IF($H327="Quarterly (From April)",0,IF($H327="Termly",0,IF($H327="Monthly (excl. August)",0,""))))</f>
        <v/>
      </c>
      <c r="N327" s="302" t="str">
        <f>IF($H327="Monthly",$E327/12,IF($H327="Quarterly (From April)",0,IF($H327="Termly",$E327/3,IF($H327="Monthly (excl. August)",$E327/11,""))))</f>
        <v/>
      </c>
      <c r="O327" s="302" t="str">
        <f>IF($H327="Monthly",$E327/12,IF($H327="Quarterly (From April)",$E327/4,IF($H327="Termly",0,IF($H327="Monthly (excl. August)",$E327/11,""))))</f>
        <v/>
      </c>
      <c r="P327" s="302" t="str">
        <f t="shared" si="234"/>
        <v/>
      </c>
      <c r="Q327" s="302" t="str">
        <f t="shared" si="234"/>
        <v/>
      </c>
      <c r="R327" s="302" t="str">
        <f>IF($H327="Monthly",$E327/12,IF($H327="Quarterly (From April)",$E327/4,IF($H327="Termly",$E327/3,IF($H327="Monthly (excl. August)",$E327/11,""))))</f>
        <v/>
      </c>
      <c r="S327" s="302" t="str">
        <f t="shared" si="235"/>
        <v/>
      </c>
      <c r="T327" s="302" t="str">
        <f t="shared" si="235"/>
        <v/>
      </c>
      <c r="U327" s="303">
        <f>E327</f>
        <v>0</v>
      </c>
      <c r="V327" s="214">
        <f>IF(ROUND(SUM(I327:T327),0)&gt;U327,1,IF(ROUND(SUM(I327:T327),0)&lt;U327,1,0))</f>
        <v>0</v>
      </c>
      <c r="W327" s="322">
        <f t="shared" si="222"/>
        <v>0</v>
      </c>
    </row>
    <row r="328" spans="1:23" ht="13.5" thickBot="1" x14ac:dyDescent="0.25">
      <c r="A328" s="1104"/>
      <c r="B328" s="158"/>
      <c r="C328" s="109"/>
      <c r="D328" s="100"/>
      <c r="E328" s="256"/>
      <c r="F328" s="257">
        <f>SUM(E325:E328)</f>
        <v>167</v>
      </c>
      <c r="H328" s="43" t="s">
        <v>267</v>
      </c>
      <c r="I328" s="302" t="str">
        <f>IF($H328="Monthly",$E328/12,IF($H328="Quarterly (From April)",$E328/4,IF($H328="Termly",$E328/3,IF($H328="Monthly (excl. August)",$E328/11,""))))</f>
        <v/>
      </c>
      <c r="J328" s="302" t="str">
        <f t="shared" si="233"/>
        <v/>
      </c>
      <c r="K328" s="302" t="str">
        <f t="shared" si="233"/>
        <v/>
      </c>
      <c r="L328" s="302" t="str">
        <f>IF($H328="Monthly",$E328/12,IF($H328="Quarterly (From April)",$E328/4,IF($H328="Termly",0,IF($H328="Monthly (excl. August)",$E328/11,""))))</f>
        <v/>
      </c>
      <c r="M328" s="302" t="str">
        <f>IF($H328="Monthly",$E328/12,IF($H328="Quarterly (From April)",0,IF($H328="Termly",0,IF($H328="Monthly (excl. August)",0,""))))</f>
        <v/>
      </c>
      <c r="N328" s="302" t="str">
        <f>IF($H328="Monthly",$E328/12,IF($H328="Quarterly (From April)",0,IF($H328="Termly",$E328/3,IF($H328="Monthly (excl. August)",$E328/11,""))))</f>
        <v/>
      </c>
      <c r="O328" s="302" t="str">
        <f>IF($H328="Monthly",$E328/12,IF($H328="Quarterly (From April)",$E328/4,IF($H328="Termly",0,IF($H328="Monthly (excl. August)",$E328/11,""))))</f>
        <v/>
      </c>
      <c r="P328" s="302" t="str">
        <f t="shared" si="234"/>
        <v/>
      </c>
      <c r="Q328" s="302" t="str">
        <f t="shared" si="234"/>
        <v/>
      </c>
      <c r="R328" s="302" t="str">
        <f>IF($H328="Monthly",$E328/12,IF($H328="Quarterly (From April)",$E328/4,IF($H328="Termly",$E328/3,IF($H328="Monthly (excl. August)",$E328/11,""))))</f>
        <v/>
      </c>
      <c r="S328" s="302" t="str">
        <f t="shared" si="235"/>
        <v/>
      </c>
      <c r="T328" s="302" t="str">
        <f t="shared" si="235"/>
        <v/>
      </c>
      <c r="U328" s="303">
        <f>E328</f>
        <v>0</v>
      </c>
      <c r="V328" s="214">
        <f>IF(ROUND(SUM(I328:T328),0)&gt;U328,1,IF(ROUND(SUM(I328:T328),0)&lt;U328,1,0))</f>
        <v>0</v>
      </c>
      <c r="W328" s="322">
        <f t="shared" si="222"/>
        <v>0</v>
      </c>
    </row>
    <row r="329" spans="1:23" ht="13.5" thickBot="1" x14ac:dyDescent="0.25">
      <c r="A329" s="8"/>
      <c r="B329" s="118"/>
      <c r="C329" s="106"/>
      <c r="D329" s="107"/>
      <c r="E329" s="267"/>
      <c r="F329" s="268"/>
      <c r="I329" s="306"/>
      <c r="J329" s="306"/>
      <c r="K329" s="306"/>
      <c r="L329" s="306"/>
      <c r="M329" s="306"/>
      <c r="N329" s="306"/>
      <c r="O329" s="306"/>
      <c r="P329" s="306"/>
      <c r="Q329" s="306"/>
      <c r="R329" s="306"/>
      <c r="S329" s="306"/>
      <c r="T329" s="306"/>
      <c r="U329" s="305"/>
      <c r="W329" s="322">
        <f t="shared" si="222"/>
        <v>0</v>
      </c>
    </row>
    <row r="330" spans="1:23" x14ac:dyDescent="0.2">
      <c r="A330" s="921" t="s">
        <v>506</v>
      </c>
      <c r="B330" s="162">
        <v>6850</v>
      </c>
      <c r="C330" s="146" t="s">
        <v>756</v>
      </c>
      <c r="D330" s="103"/>
      <c r="E330" s="261"/>
      <c r="F330" s="271"/>
      <c r="H330" s="43" t="s">
        <v>267</v>
      </c>
      <c r="I330" s="302" t="str">
        <f>IF($H330="Monthly",$E330/12,IF($H330="Quarterly (From April)",$E330/4,IF($H330="Termly",$E330/3,IF($H330="Monthly (excl. August)",$E330/11,""))))</f>
        <v/>
      </c>
      <c r="J330" s="302" t="str">
        <f t="shared" ref="J330:K333" si="236">IF($H330="Monthly",$E330/12,IF($H330="Quarterly (From April)",0,IF($H330="Termly",0,IF($H330="Monthly (excl. August)",$E330/11,""))))</f>
        <v/>
      </c>
      <c r="K330" s="302" t="str">
        <f t="shared" si="236"/>
        <v/>
      </c>
      <c r="L330" s="302" t="str">
        <f>IF($H330="Monthly",$E330/12,IF($H330="Quarterly (From April)",$E330/4,IF($H330="Termly",0,IF($H330="Monthly (excl. August)",$E330/11,""))))</f>
        <v/>
      </c>
      <c r="M330" s="302" t="str">
        <f>IF($H330="Monthly",$E330/12,IF($H330="Quarterly (From April)",0,IF($H330="Termly",0,IF($H330="Monthly (excl. August)",0,""))))</f>
        <v/>
      </c>
      <c r="N330" s="302" t="str">
        <f>IF($H330="Monthly",$E330/12,IF($H330="Quarterly (From April)",0,IF($H330="Termly",$E330/3,IF($H330="Monthly (excl. August)",$E330/11,""))))</f>
        <v/>
      </c>
      <c r="O330" s="302" t="str">
        <f>IF($H330="Monthly",$E330/12,IF($H330="Quarterly (From April)",$E330/4,IF($H330="Termly",0,IF($H330="Monthly (excl. August)",$E330/11,""))))</f>
        <v/>
      </c>
      <c r="P330" s="302" t="str">
        <f t="shared" ref="P330:Q333" si="237">IF($H330="Monthly",$E330/12,IF($H330="Quarterly (From April)",0,IF($H330="Termly",0,IF($H330="Monthly (excl. August)",$E330/11,""))))</f>
        <v/>
      </c>
      <c r="Q330" s="302" t="str">
        <f t="shared" si="237"/>
        <v/>
      </c>
      <c r="R330" s="302" t="str">
        <f>IF($H330="Monthly",$E330/12,IF($H330="Quarterly (From April)",$E330/4,IF($H330="Termly",$E330/3,IF($H330="Monthly (excl. August)",$E330/11,""))))</f>
        <v/>
      </c>
      <c r="S330" s="302" t="str">
        <f t="shared" ref="S330:T333" si="238">IF($H330="Monthly",$E330/12,IF($H330="Quarterly (From April)",0,IF($H330="Termly",0,IF($H330="Monthly (excl. August)",$E330/11,""))))</f>
        <v/>
      </c>
      <c r="T330" s="302" t="str">
        <f t="shared" si="238"/>
        <v/>
      </c>
      <c r="U330" s="303">
        <f>E330</f>
        <v>0</v>
      </c>
      <c r="V330" s="214">
        <f>IF(ROUND(SUM(I330:T330),0)&gt;U330,1,IF(ROUND(SUM(I330:T330),0)&lt;U330,1,0))</f>
        <v>0</v>
      </c>
      <c r="W330" s="322">
        <f t="shared" si="222"/>
        <v>0</v>
      </c>
    </row>
    <row r="331" spans="1:23" x14ac:dyDescent="0.2">
      <c r="A331" s="1105"/>
      <c r="B331" s="157">
        <v>6349</v>
      </c>
      <c r="C331" s="108" t="s">
        <v>663</v>
      </c>
      <c r="D331" s="95"/>
      <c r="E331" s="250"/>
      <c r="F331" s="272"/>
      <c r="H331" s="43" t="s">
        <v>267</v>
      </c>
      <c r="I331" s="302" t="str">
        <f>IF($H331="Monthly",$E331/12,IF($H331="Quarterly (From April)",$E331/4,IF($H331="Termly",$E331/3,IF($H331="Monthly (excl. August)",$E331/11,""))))</f>
        <v/>
      </c>
      <c r="J331" s="302" t="str">
        <f t="shared" si="236"/>
        <v/>
      </c>
      <c r="K331" s="302" t="str">
        <f t="shared" si="236"/>
        <v/>
      </c>
      <c r="L331" s="302" t="str">
        <f>IF($H331="Monthly",$E331/12,IF($H331="Quarterly (From April)",$E331/4,IF($H331="Termly",0,IF($H331="Monthly (excl. August)",$E331/11,""))))</f>
        <v/>
      </c>
      <c r="M331" s="302" t="str">
        <f>IF($H331="Monthly",$E331/12,IF($H331="Quarterly (From April)",0,IF($H331="Termly",0,IF($H331="Monthly (excl. August)",0,""))))</f>
        <v/>
      </c>
      <c r="N331" s="302" t="str">
        <f>IF($H331="Monthly",$E331/12,IF($H331="Quarterly (From April)",0,IF($H331="Termly",$E331/3,IF($H331="Monthly (excl. August)",$E331/11,""))))</f>
        <v/>
      </c>
      <c r="O331" s="302" t="str">
        <f>IF($H331="Monthly",$E331/12,IF($H331="Quarterly (From April)",$E331/4,IF($H331="Termly",0,IF($H331="Monthly (excl. August)",$E331/11,""))))</f>
        <v/>
      </c>
      <c r="P331" s="302" t="str">
        <f t="shared" si="237"/>
        <v/>
      </c>
      <c r="Q331" s="302" t="str">
        <f t="shared" si="237"/>
        <v/>
      </c>
      <c r="R331" s="302" t="str">
        <f>IF($H331="Monthly",$E331/12,IF($H331="Quarterly (From April)",$E331/4,IF($H331="Termly",$E331/3,IF($H331="Monthly (excl. August)",$E331/11,""))))</f>
        <v/>
      </c>
      <c r="S331" s="302" t="str">
        <f t="shared" si="238"/>
        <v/>
      </c>
      <c r="T331" s="302" t="str">
        <f t="shared" si="238"/>
        <v/>
      </c>
      <c r="U331" s="303">
        <f>E331</f>
        <v>0</v>
      </c>
      <c r="V331" s="214">
        <f>IF(ROUND(SUM(I331:T331),0)&gt;U331,1,IF(ROUND(SUM(I331:T331),0)&lt;U331,1,0))</f>
        <v>0</v>
      </c>
      <c r="W331" s="322">
        <f t="shared" si="222"/>
        <v>0</v>
      </c>
    </row>
    <row r="332" spans="1:23" x14ac:dyDescent="0.2">
      <c r="A332" s="1103"/>
      <c r="B332" s="157">
        <v>3201</v>
      </c>
      <c r="C332" s="108" t="s">
        <v>659</v>
      </c>
      <c r="D332" s="95"/>
      <c r="E332" s="250"/>
      <c r="F332" s="273"/>
      <c r="H332" s="43" t="s">
        <v>267</v>
      </c>
      <c r="I332" s="302" t="str">
        <f>IF($H332="Monthly",$E332/12,IF($H332="Quarterly (From April)",$E332/4,IF($H332="Termly",$E332/3,IF($H332="Monthly (excl. August)",$E332/11,""))))</f>
        <v/>
      </c>
      <c r="J332" s="302" t="str">
        <f t="shared" si="236"/>
        <v/>
      </c>
      <c r="K332" s="302" t="str">
        <f t="shared" si="236"/>
        <v/>
      </c>
      <c r="L332" s="302" t="str">
        <f>IF($H332="Monthly",$E332/12,IF($H332="Quarterly (From April)",$E332/4,IF($H332="Termly",0,IF($H332="Monthly (excl. August)",$E332/11,""))))</f>
        <v/>
      </c>
      <c r="M332" s="302" t="str">
        <f>IF($H332="Monthly",$E332/12,IF($H332="Quarterly (From April)",0,IF($H332="Termly",0,IF($H332="Monthly (excl. August)",0,""))))</f>
        <v/>
      </c>
      <c r="N332" s="302" t="str">
        <f>IF($H332="Monthly",$E332/12,IF($H332="Quarterly (From April)",0,IF($H332="Termly",$E332/3,IF($H332="Monthly (excl. August)",$E332/11,""))))</f>
        <v/>
      </c>
      <c r="O332" s="302" t="str">
        <f>IF($H332="Monthly",$E332/12,IF($H332="Quarterly (From April)",$E332/4,IF($H332="Termly",0,IF($H332="Monthly (excl. August)",$E332/11,""))))</f>
        <v/>
      </c>
      <c r="P332" s="302" t="str">
        <f t="shared" si="237"/>
        <v/>
      </c>
      <c r="Q332" s="302" t="str">
        <f t="shared" si="237"/>
        <v/>
      </c>
      <c r="R332" s="302" t="str">
        <f>IF($H332="Monthly",$E332/12,IF($H332="Quarterly (From April)",$E332/4,IF($H332="Termly",$E332/3,IF($H332="Monthly (excl. August)",$E332/11,""))))</f>
        <v/>
      </c>
      <c r="S332" s="302" t="str">
        <f t="shared" si="238"/>
        <v/>
      </c>
      <c r="T332" s="302" t="str">
        <f t="shared" si="238"/>
        <v/>
      </c>
      <c r="U332" s="303">
        <f>E332</f>
        <v>0</v>
      </c>
      <c r="V332" s="214">
        <f>IF(ROUND(SUM(I332:T332),0)&gt;U332,1,IF(ROUND(SUM(I332:T332),0)&lt;U332,1,0))</f>
        <v>0</v>
      </c>
      <c r="W332" s="322">
        <f t="shared" si="222"/>
        <v>0</v>
      </c>
    </row>
    <row r="333" spans="1:23" ht="13.5" thickBot="1" x14ac:dyDescent="0.25">
      <c r="A333" s="1104"/>
      <c r="B333" s="165">
        <v>3401</v>
      </c>
      <c r="C333" s="166" t="s">
        <v>660</v>
      </c>
      <c r="D333" s="105"/>
      <c r="E333" s="265"/>
      <c r="F333" s="274">
        <f>SUM(E330:E333)</f>
        <v>0</v>
      </c>
      <c r="H333" s="43" t="s">
        <v>267</v>
      </c>
      <c r="I333" s="302" t="str">
        <f>IF($H333="Monthly",$E333/12,IF($H333="Quarterly (From April)",$E333/4,IF($H333="Termly",$E333/3,IF($H333="Monthly (excl. August)",$E333/11,""))))</f>
        <v/>
      </c>
      <c r="J333" s="302" t="str">
        <f t="shared" si="236"/>
        <v/>
      </c>
      <c r="K333" s="302" t="str">
        <f t="shared" si="236"/>
        <v/>
      </c>
      <c r="L333" s="302" t="str">
        <f>IF($H333="Monthly",$E333/12,IF($H333="Quarterly (From April)",$E333/4,IF($H333="Termly",0,IF($H333="Monthly (excl. August)",$E333/11,""))))</f>
        <v/>
      </c>
      <c r="M333" s="302" t="str">
        <f>IF($H333="Monthly",$E333/12,IF($H333="Quarterly (From April)",0,IF($H333="Termly",0,IF($H333="Monthly (excl. August)",0,""))))</f>
        <v/>
      </c>
      <c r="N333" s="302" t="str">
        <f>IF($H333="Monthly",$E333/12,IF($H333="Quarterly (From April)",0,IF($H333="Termly",$E333/3,IF($H333="Monthly (excl. August)",$E333/11,""))))</f>
        <v/>
      </c>
      <c r="O333" s="302" t="str">
        <f>IF($H333="Monthly",$E333/12,IF($H333="Quarterly (From April)",$E333/4,IF($H333="Termly",0,IF($H333="Monthly (excl. August)",$E333/11,""))))</f>
        <v/>
      </c>
      <c r="P333" s="302" t="str">
        <f t="shared" si="237"/>
        <v/>
      </c>
      <c r="Q333" s="302" t="str">
        <f t="shared" si="237"/>
        <v/>
      </c>
      <c r="R333" s="302" t="str">
        <f>IF($H333="Monthly",$E333/12,IF($H333="Quarterly (From April)",$E333/4,IF($H333="Termly",$E333/3,IF($H333="Monthly (excl. August)",$E333/11,""))))</f>
        <v/>
      </c>
      <c r="S333" s="302" t="str">
        <f t="shared" si="238"/>
        <v/>
      </c>
      <c r="T333" s="302" t="str">
        <f t="shared" si="238"/>
        <v/>
      </c>
      <c r="U333" s="303">
        <f>E333</f>
        <v>0</v>
      </c>
      <c r="V333" s="214">
        <f>IF(ROUND(SUM(I333:T333),0)&gt;U333,1,IF(ROUND(SUM(I333:T333),0)&lt;U333,1,0))</f>
        <v>0</v>
      </c>
      <c r="W333" s="322">
        <f t="shared" si="222"/>
        <v>0</v>
      </c>
    </row>
    <row r="334" spans="1:23" ht="13.5" thickBot="1" x14ac:dyDescent="0.25">
      <c r="A334" s="13"/>
      <c r="B334" s="118"/>
      <c r="C334" s="106"/>
      <c r="D334" s="107"/>
      <c r="E334" s="267"/>
      <c r="F334" s="268"/>
      <c r="G334" s="11"/>
      <c r="I334" s="306"/>
      <c r="J334" s="306"/>
      <c r="K334" s="306"/>
      <c r="L334" s="306"/>
      <c r="M334" s="306"/>
      <c r="N334" s="306"/>
      <c r="O334" s="306"/>
      <c r="P334" s="306"/>
      <c r="Q334" s="306"/>
      <c r="R334" s="306"/>
      <c r="S334" s="306"/>
      <c r="T334" s="306"/>
      <c r="U334" s="305"/>
      <c r="W334" s="322">
        <f t="shared" si="222"/>
        <v>0</v>
      </c>
    </row>
    <row r="335" spans="1:23" ht="12.75" customHeight="1" x14ac:dyDescent="0.2">
      <c r="A335" s="1092" t="s">
        <v>1003</v>
      </c>
      <c r="B335" s="170"/>
      <c r="C335" s="113"/>
      <c r="D335" s="93"/>
      <c r="E335" s="246"/>
      <c r="F335" s="247"/>
      <c r="G335" s="11"/>
      <c r="H335" s="43" t="s">
        <v>267</v>
      </c>
      <c r="I335" s="302" t="str">
        <f>IF($H335="Monthly",$E335/12,IF($H335="Quarterly (From April)",$E335/4,IF($H335="Termly",$E335/3,IF($H335="Monthly (excl. August)",$E335/11,""))))</f>
        <v/>
      </c>
      <c r="J335" s="302" t="str">
        <f t="shared" ref="J335:K338" si="239">IF($H335="Monthly",$E335/12,IF($H335="Quarterly (From April)",0,IF($H335="Termly",0,IF($H335="Monthly (excl. August)",$E335/11,""))))</f>
        <v/>
      </c>
      <c r="K335" s="302" t="str">
        <f t="shared" si="239"/>
        <v/>
      </c>
      <c r="L335" s="302" t="str">
        <f>IF($H335="Monthly",$E335/12,IF($H335="Quarterly (From April)",$E335/4,IF($H335="Termly",0,IF($H335="Monthly (excl. August)",$E335/11,""))))</f>
        <v/>
      </c>
      <c r="M335" s="302" t="str">
        <f>IF($H335="Monthly",$E335/12,IF($H335="Quarterly (From April)",0,IF($H335="Termly",0,IF($H335="Monthly (excl. August)",0,""))))</f>
        <v/>
      </c>
      <c r="N335" s="302" t="str">
        <f>IF($H335="Monthly",$E335/12,IF($H335="Quarterly (From April)",0,IF($H335="Termly",$E335/3,IF($H335="Monthly (excl. August)",$E335/11,""))))</f>
        <v/>
      </c>
      <c r="O335" s="302" t="str">
        <f>IF($H335="Monthly",$E335/12,IF($H335="Quarterly (From April)",$E335/4,IF($H335="Termly",0,IF($H335="Monthly (excl. August)",$E335/11,""))))</f>
        <v/>
      </c>
      <c r="P335" s="302" t="str">
        <f t="shared" ref="P335:Q338" si="240">IF($H335="Monthly",$E335/12,IF($H335="Quarterly (From April)",0,IF($H335="Termly",0,IF($H335="Monthly (excl. August)",$E335/11,""))))</f>
        <v/>
      </c>
      <c r="Q335" s="302" t="str">
        <f t="shared" si="240"/>
        <v/>
      </c>
      <c r="R335" s="302" t="str">
        <f>IF($H335="Monthly",$E335/12,IF($H335="Quarterly (From April)",$E335/4,IF($H335="Termly",$E335/3,IF($H335="Monthly (excl. August)",$E335/11,""))))</f>
        <v/>
      </c>
      <c r="S335" s="302" t="str">
        <f t="shared" ref="S335:T338" si="241">IF($H335="Monthly",$E335/12,IF($H335="Quarterly (From April)",0,IF($H335="Termly",0,IF($H335="Monthly (excl. August)",$E335/11,""))))</f>
        <v/>
      </c>
      <c r="T335" s="302" t="str">
        <f t="shared" si="241"/>
        <v/>
      </c>
      <c r="U335" s="303">
        <f>E335</f>
        <v>0</v>
      </c>
      <c r="V335" s="214">
        <f>IF(ROUND(SUM(I335:T335),0)&gt;U335,1,IF(ROUND(SUM(I335:T335),0)&lt;U335,1,0))</f>
        <v>0</v>
      </c>
      <c r="W335" s="322">
        <f t="shared" si="222"/>
        <v>0</v>
      </c>
    </row>
    <row r="336" spans="1:23" x14ac:dyDescent="0.2">
      <c r="A336" s="1093"/>
      <c r="B336" s="160"/>
      <c r="C336" s="108"/>
      <c r="D336" s="95"/>
      <c r="E336" s="250"/>
      <c r="F336" s="251"/>
      <c r="G336" s="11"/>
      <c r="H336" s="43" t="s">
        <v>267</v>
      </c>
      <c r="I336" s="302" t="str">
        <f>IF($H336="Monthly",$E336/12,IF($H336="Quarterly (From April)",$E336/4,IF($H336="Termly",$E336/3,IF($H336="Monthly (excl. August)",$E336/11,""))))</f>
        <v/>
      </c>
      <c r="J336" s="302" t="str">
        <f t="shared" si="239"/>
        <v/>
      </c>
      <c r="K336" s="302" t="str">
        <f t="shared" si="239"/>
        <v/>
      </c>
      <c r="L336" s="302" t="str">
        <f>IF($H336="Monthly",$E336/12,IF($H336="Quarterly (From April)",$E336/4,IF($H336="Termly",0,IF($H336="Monthly (excl. August)",$E336/11,""))))</f>
        <v/>
      </c>
      <c r="M336" s="302" t="str">
        <f>IF($H336="Monthly",$E336/12,IF($H336="Quarterly (From April)",0,IF($H336="Termly",0,IF($H336="Monthly (excl. August)",0,""))))</f>
        <v/>
      </c>
      <c r="N336" s="302" t="str">
        <f>IF($H336="Monthly",$E336/12,IF($H336="Quarterly (From April)",0,IF($H336="Termly",$E336/3,IF($H336="Monthly (excl. August)",$E336/11,""))))</f>
        <v/>
      </c>
      <c r="O336" s="302" t="str">
        <f>IF($H336="Monthly",$E336/12,IF($H336="Quarterly (From April)",$E336/4,IF($H336="Termly",0,IF($H336="Monthly (excl. August)",$E336/11,""))))</f>
        <v/>
      </c>
      <c r="P336" s="302" t="str">
        <f t="shared" si="240"/>
        <v/>
      </c>
      <c r="Q336" s="302" t="str">
        <f t="shared" si="240"/>
        <v/>
      </c>
      <c r="R336" s="302" t="str">
        <f>IF($H336="Monthly",$E336/12,IF($H336="Quarterly (From April)",$E336/4,IF($H336="Termly",$E336/3,IF($H336="Monthly (excl. August)",$E336/11,""))))</f>
        <v/>
      </c>
      <c r="S336" s="302" t="str">
        <f t="shared" si="241"/>
        <v/>
      </c>
      <c r="T336" s="302" t="str">
        <f t="shared" si="241"/>
        <v/>
      </c>
      <c r="U336" s="303">
        <f>E336</f>
        <v>0</v>
      </c>
      <c r="V336" s="214">
        <f>IF(ROUND(SUM(I336:T336),0)&gt;U336,1,IF(ROUND(SUM(I336:T336),0)&lt;U336,1,0))</f>
        <v>0</v>
      </c>
      <c r="W336" s="322">
        <f t="shared" si="222"/>
        <v>0</v>
      </c>
    </row>
    <row r="337" spans="1:23" x14ac:dyDescent="0.2">
      <c r="A337" s="1093"/>
      <c r="B337" s="160"/>
      <c r="C337" s="108"/>
      <c r="D337" s="95"/>
      <c r="E337" s="250"/>
      <c r="F337" s="251"/>
      <c r="G337" s="11"/>
      <c r="H337" s="43" t="s">
        <v>267</v>
      </c>
      <c r="I337" s="302" t="str">
        <f>IF($H337="Monthly",$E337/12,IF($H337="Quarterly (From April)",$E337/4,IF($H337="Termly",$E337/3,IF($H337="Monthly (excl. August)",$E337/11,""))))</f>
        <v/>
      </c>
      <c r="J337" s="302" t="str">
        <f t="shared" si="239"/>
        <v/>
      </c>
      <c r="K337" s="302" t="str">
        <f t="shared" si="239"/>
        <v/>
      </c>
      <c r="L337" s="302" t="str">
        <f>IF($H337="Monthly",$E337/12,IF($H337="Quarterly (From April)",$E337/4,IF($H337="Termly",0,IF($H337="Monthly (excl. August)",$E337/11,""))))</f>
        <v/>
      </c>
      <c r="M337" s="302" t="str">
        <f>IF($H337="Monthly",$E337/12,IF($H337="Quarterly (From April)",0,IF($H337="Termly",0,IF($H337="Monthly (excl. August)",0,""))))</f>
        <v/>
      </c>
      <c r="N337" s="302" t="str">
        <f>IF($H337="Monthly",$E337/12,IF($H337="Quarterly (From April)",0,IF($H337="Termly",$E337/3,IF($H337="Monthly (excl. August)",$E337/11,""))))</f>
        <v/>
      </c>
      <c r="O337" s="302" t="str">
        <f>IF($H337="Monthly",$E337/12,IF($H337="Quarterly (From April)",$E337/4,IF($H337="Termly",0,IF($H337="Monthly (excl. August)",$E337/11,""))))</f>
        <v/>
      </c>
      <c r="P337" s="302" t="str">
        <f t="shared" si="240"/>
        <v/>
      </c>
      <c r="Q337" s="302" t="str">
        <f t="shared" si="240"/>
        <v/>
      </c>
      <c r="R337" s="302" t="str">
        <f>IF($H337="Monthly",$E337/12,IF($H337="Quarterly (From April)",$E337/4,IF($H337="Termly",$E337/3,IF($H337="Monthly (excl. August)",$E337/11,""))))</f>
        <v/>
      </c>
      <c r="S337" s="302" t="str">
        <f t="shared" si="241"/>
        <v/>
      </c>
      <c r="T337" s="302" t="str">
        <f t="shared" si="241"/>
        <v/>
      </c>
      <c r="U337" s="303">
        <f>E337</f>
        <v>0</v>
      </c>
      <c r="V337" s="214">
        <f>IF(ROUND(SUM(I337:T337),0)&gt;U337,1,IF(ROUND(SUM(I337:T337),0)&lt;U337,1,0))</f>
        <v>0</v>
      </c>
      <c r="W337" s="322">
        <f t="shared" si="222"/>
        <v>0</v>
      </c>
    </row>
    <row r="338" spans="1:23" ht="13.5" thickBot="1" x14ac:dyDescent="0.25">
      <c r="A338" s="1094"/>
      <c r="B338" s="161"/>
      <c r="C338" s="109"/>
      <c r="D338" s="100"/>
      <c r="E338" s="256"/>
      <c r="F338" s="257">
        <f>SUM(E335:E338)</f>
        <v>0</v>
      </c>
      <c r="G338" s="11"/>
      <c r="H338" s="43" t="s">
        <v>267</v>
      </c>
      <c r="I338" s="302" t="str">
        <f>IF($H338="Monthly",$E338/12,IF($H338="Quarterly (From April)",$E338/4,IF($H338="Termly",$E338/3,IF($H338="Monthly (excl. August)",$E338/11,""))))</f>
        <v/>
      </c>
      <c r="J338" s="302" t="str">
        <f t="shared" si="239"/>
        <v/>
      </c>
      <c r="K338" s="302" t="str">
        <f t="shared" si="239"/>
        <v/>
      </c>
      <c r="L338" s="302" t="str">
        <f>IF($H338="Monthly",$E338/12,IF($H338="Quarterly (From April)",$E338/4,IF($H338="Termly",0,IF($H338="Monthly (excl. August)",$E338/11,""))))</f>
        <v/>
      </c>
      <c r="M338" s="302" t="str">
        <f>IF($H338="Monthly",$E338/12,IF($H338="Quarterly (From April)",0,IF($H338="Termly",0,IF($H338="Monthly (excl. August)",0,""))))</f>
        <v/>
      </c>
      <c r="N338" s="302" t="str">
        <f>IF($H338="Monthly",$E338/12,IF($H338="Quarterly (From April)",0,IF($H338="Termly",$E338/3,IF($H338="Monthly (excl. August)",$E338/11,""))))</f>
        <v/>
      </c>
      <c r="O338" s="302" t="str">
        <f>IF($H338="Monthly",$E338/12,IF($H338="Quarterly (From April)",$E338/4,IF($H338="Termly",0,IF($H338="Monthly (excl. August)",$E338/11,""))))</f>
        <v/>
      </c>
      <c r="P338" s="302" t="str">
        <f t="shared" si="240"/>
        <v/>
      </c>
      <c r="Q338" s="302" t="str">
        <f t="shared" si="240"/>
        <v/>
      </c>
      <c r="R338" s="302" t="str">
        <f>IF($H338="Monthly",$E338/12,IF($H338="Quarterly (From April)",$E338/4,IF($H338="Termly",$E338/3,IF($H338="Monthly (excl. August)",$E338/11,""))))</f>
        <v/>
      </c>
      <c r="S338" s="302" t="str">
        <f t="shared" si="241"/>
        <v/>
      </c>
      <c r="T338" s="302" t="str">
        <f t="shared" si="241"/>
        <v/>
      </c>
      <c r="U338" s="303">
        <f>E338</f>
        <v>0</v>
      </c>
      <c r="V338" s="214">
        <f>IF(ROUND(SUM(I338:T338),0)&gt;U338,1,IF(ROUND(SUM(I338:T338),0)&lt;U338,1,0))</f>
        <v>0</v>
      </c>
      <c r="W338" s="322">
        <f t="shared" si="222"/>
        <v>0</v>
      </c>
    </row>
    <row r="339" spans="1:23" ht="13.5" thickBot="1" x14ac:dyDescent="0.25">
      <c r="A339" s="45"/>
      <c r="B339" s="119"/>
      <c r="C339" s="111"/>
      <c r="D339" s="107"/>
      <c r="E339" s="267"/>
      <c r="F339" s="270"/>
      <c r="G339" s="11"/>
      <c r="I339" s="306"/>
      <c r="J339" s="306"/>
      <c r="K339" s="306"/>
      <c r="L339" s="306"/>
      <c r="M339" s="306"/>
      <c r="N339" s="306"/>
      <c r="O339" s="306"/>
      <c r="P339" s="306"/>
      <c r="Q339" s="306"/>
      <c r="R339" s="306"/>
      <c r="S339" s="306"/>
      <c r="T339" s="306"/>
      <c r="U339" s="305"/>
      <c r="W339" s="322">
        <f t="shared" si="222"/>
        <v>0</v>
      </c>
    </row>
    <row r="340" spans="1:23" ht="12.75" customHeight="1" x14ac:dyDescent="0.2">
      <c r="A340" s="1092" t="s">
        <v>1003</v>
      </c>
      <c r="B340" s="170"/>
      <c r="C340" s="113"/>
      <c r="D340" s="93"/>
      <c r="E340" s="246"/>
      <c r="F340" s="247"/>
      <c r="G340" s="11"/>
      <c r="H340" s="43" t="s">
        <v>267</v>
      </c>
      <c r="I340" s="302" t="str">
        <f>IF($H340="Monthly",$E340/12,IF($H340="Quarterly (From April)",$E340/4,IF($H340="Termly",$E340/3,IF($H340="Monthly (excl. August)",$E340/11,""))))</f>
        <v/>
      </c>
      <c r="J340" s="302" t="str">
        <f t="shared" ref="J340:K343" si="242">IF($H340="Monthly",$E340/12,IF($H340="Quarterly (From April)",0,IF($H340="Termly",0,IF($H340="Monthly (excl. August)",$E340/11,""))))</f>
        <v/>
      </c>
      <c r="K340" s="302" t="str">
        <f t="shared" si="242"/>
        <v/>
      </c>
      <c r="L340" s="302" t="str">
        <f>IF($H340="Monthly",$E340/12,IF($H340="Quarterly (From April)",$E340/4,IF($H340="Termly",0,IF($H340="Monthly (excl. August)",$E340/11,""))))</f>
        <v/>
      </c>
      <c r="M340" s="302" t="str">
        <f>IF($H340="Monthly",$E340/12,IF($H340="Quarterly (From April)",0,IF($H340="Termly",0,IF($H340="Monthly (excl. August)",0,""))))</f>
        <v/>
      </c>
      <c r="N340" s="302" t="str">
        <f>IF($H340="Monthly",$E340/12,IF($H340="Quarterly (From April)",0,IF($H340="Termly",$E340/3,IF($H340="Monthly (excl. August)",$E340/11,""))))</f>
        <v/>
      </c>
      <c r="O340" s="302" t="str">
        <f>IF($H340="Monthly",$E340/12,IF($H340="Quarterly (From April)",$E340/4,IF($H340="Termly",0,IF($H340="Monthly (excl. August)",$E340/11,""))))</f>
        <v/>
      </c>
      <c r="P340" s="302" t="str">
        <f t="shared" ref="P340:Q343" si="243">IF($H340="Monthly",$E340/12,IF($H340="Quarterly (From April)",0,IF($H340="Termly",0,IF($H340="Monthly (excl. August)",$E340/11,""))))</f>
        <v/>
      </c>
      <c r="Q340" s="302" t="str">
        <f t="shared" si="243"/>
        <v/>
      </c>
      <c r="R340" s="302" t="str">
        <f>IF($H340="Monthly",$E340/12,IF($H340="Quarterly (From April)",$E340/4,IF($H340="Termly",$E340/3,IF($H340="Monthly (excl. August)",$E340/11,""))))</f>
        <v/>
      </c>
      <c r="S340" s="302" t="str">
        <f t="shared" ref="S340:T343" si="244">IF($H340="Monthly",$E340/12,IF($H340="Quarterly (From April)",0,IF($H340="Termly",0,IF($H340="Monthly (excl. August)",$E340/11,""))))</f>
        <v/>
      </c>
      <c r="T340" s="302" t="str">
        <f t="shared" si="244"/>
        <v/>
      </c>
      <c r="U340" s="303">
        <f>E340</f>
        <v>0</v>
      </c>
      <c r="V340" s="214">
        <f>IF(ROUND(SUM(I340:T340),0)&gt;U340,1,IF(ROUND(SUM(I340:T340),0)&lt;U340,1,0))</f>
        <v>0</v>
      </c>
      <c r="W340" s="322">
        <f t="shared" si="222"/>
        <v>0</v>
      </c>
    </row>
    <row r="341" spans="1:23" x14ac:dyDescent="0.2">
      <c r="A341" s="1093"/>
      <c r="B341" s="160"/>
      <c r="C341" s="108"/>
      <c r="D341" s="95"/>
      <c r="E341" s="250"/>
      <c r="F341" s="251"/>
      <c r="G341" s="11"/>
      <c r="H341" s="43" t="s">
        <v>267</v>
      </c>
      <c r="I341" s="302" t="str">
        <f>IF($H341="Monthly",$E341/12,IF($H341="Quarterly (From April)",$E341/4,IF($H341="Termly",$E341/3,IF($H341="Monthly (excl. August)",$E341/11,""))))</f>
        <v/>
      </c>
      <c r="J341" s="302" t="str">
        <f t="shared" si="242"/>
        <v/>
      </c>
      <c r="K341" s="302" t="str">
        <f t="shared" si="242"/>
        <v/>
      </c>
      <c r="L341" s="302" t="str">
        <f>IF($H341="Monthly",$E341/12,IF($H341="Quarterly (From April)",$E341/4,IF($H341="Termly",0,IF($H341="Monthly (excl. August)",$E341/11,""))))</f>
        <v/>
      </c>
      <c r="M341" s="302" t="str">
        <f>IF($H341="Monthly",$E341/12,IF($H341="Quarterly (From April)",0,IF($H341="Termly",0,IF($H341="Monthly (excl. August)",0,""))))</f>
        <v/>
      </c>
      <c r="N341" s="302" t="str">
        <f>IF($H341="Monthly",$E341/12,IF($H341="Quarterly (From April)",0,IF($H341="Termly",$E341/3,IF($H341="Monthly (excl. August)",$E341/11,""))))</f>
        <v/>
      </c>
      <c r="O341" s="302" t="str">
        <f>IF($H341="Monthly",$E341/12,IF($H341="Quarterly (From April)",$E341/4,IF($H341="Termly",0,IF($H341="Monthly (excl. August)",$E341/11,""))))</f>
        <v/>
      </c>
      <c r="P341" s="302" t="str">
        <f t="shared" si="243"/>
        <v/>
      </c>
      <c r="Q341" s="302" t="str">
        <f t="shared" si="243"/>
        <v/>
      </c>
      <c r="R341" s="302" t="str">
        <f>IF($H341="Monthly",$E341/12,IF($H341="Quarterly (From April)",$E341/4,IF($H341="Termly",$E341/3,IF($H341="Monthly (excl. August)",$E341/11,""))))</f>
        <v/>
      </c>
      <c r="S341" s="302" t="str">
        <f t="shared" si="244"/>
        <v/>
      </c>
      <c r="T341" s="302" t="str">
        <f t="shared" si="244"/>
        <v/>
      </c>
      <c r="U341" s="303">
        <f>E341</f>
        <v>0</v>
      </c>
      <c r="V341" s="214">
        <f>IF(ROUND(SUM(I341:T341),0)&gt;U341,1,IF(ROUND(SUM(I341:T341),0)&lt;U341,1,0))</f>
        <v>0</v>
      </c>
      <c r="W341" s="322">
        <f t="shared" si="222"/>
        <v>0</v>
      </c>
    </row>
    <row r="342" spans="1:23" x14ac:dyDescent="0.2">
      <c r="A342" s="1093"/>
      <c r="B342" s="160"/>
      <c r="C342" s="108"/>
      <c r="D342" s="95"/>
      <c r="E342" s="250"/>
      <c r="F342" s="251"/>
      <c r="G342" s="11"/>
      <c r="H342" s="43" t="s">
        <v>267</v>
      </c>
      <c r="I342" s="302" t="str">
        <f>IF($H342="Monthly",$E342/12,IF($H342="Quarterly (From April)",$E342/4,IF($H342="Termly",$E342/3,IF($H342="Monthly (excl. August)",$E342/11,""))))</f>
        <v/>
      </c>
      <c r="J342" s="302" t="str">
        <f t="shared" si="242"/>
        <v/>
      </c>
      <c r="K342" s="302" t="str">
        <f t="shared" si="242"/>
        <v/>
      </c>
      <c r="L342" s="302" t="str">
        <f>IF($H342="Monthly",$E342/12,IF($H342="Quarterly (From April)",$E342/4,IF($H342="Termly",0,IF($H342="Monthly (excl. August)",$E342/11,""))))</f>
        <v/>
      </c>
      <c r="M342" s="302" t="str">
        <f>IF($H342="Monthly",$E342/12,IF($H342="Quarterly (From April)",0,IF($H342="Termly",0,IF($H342="Monthly (excl. August)",0,""))))</f>
        <v/>
      </c>
      <c r="N342" s="302" t="str">
        <f>IF($H342="Monthly",$E342/12,IF($H342="Quarterly (From April)",0,IF($H342="Termly",$E342/3,IF($H342="Monthly (excl. August)",$E342/11,""))))</f>
        <v/>
      </c>
      <c r="O342" s="302" t="str">
        <f>IF($H342="Monthly",$E342/12,IF($H342="Quarterly (From April)",$E342/4,IF($H342="Termly",0,IF($H342="Monthly (excl. August)",$E342/11,""))))</f>
        <v/>
      </c>
      <c r="P342" s="302" t="str">
        <f t="shared" si="243"/>
        <v/>
      </c>
      <c r="Q342" s="302" t="str">
        <f t="shared" si="243"/>
        <v/>
      </c>
      <c r="R342" s="302" t="str">
        <f>IF($H342="Monthly",$E342/12,IF($H342="Quarterly (From April)",$E342/4,IF($H342="Termly",$E342/3,IF($H342="Monthly (excl. August)",$E342/11,""))))</f>
        <v/>
      </c>
      <c r="S342" s="302" t="str">
        <f t="shared" si="244"/>
        <v/>
      </c>
      <c r="T342" s="302" t="str">
        <f t="shared" si="244"/>
        <v/>
      </c>
      <c r="U342" s="303">
        <f>E342</f>
        <v>0</v>
      </c>
      <c r="V342" s="214">
        <f>IF(ROUND(SUM(I342:T342),0)&gt;U342,1,IF(ROUND(SUM(I342:T342),0)&lt;U342,1,0))</f>
        <v>0</v>
      </c>
      <c r="W342" s="322">
        <f t="shared" si="222"/>
        <v>0</v>
      </c>
    </row>
    <row r="343" spans="1:23" ht="13.5" thickBot="1" x14ac:dyDescent="0.25">
      <c r="A343" s="1094"/>
      <c r="B343" s="161"/>
      <c r="C343" s="109"/>
      <c r="D343" s="100"/>
      <c r="E343" s="256"/>
      <c r="F343" s="257">
        <f>SUM(E340:E343)</f>
        <v>0</v>
      </c>
      <c r="G343" s="11"/>
      <c r="H343" s="43" t="s">
        <v>267</v>
      </c>
      <c r="I343" s="302" t="str">
        <f>IF($H343="Monthly",$E343/12,IF($H343="Quarterly (From April)",$E343/4,IF($H343="Termly",$E343/3,IF($H343="Monthly (excl. August)",$E343/11,""))))</f>
        <v/>
      </c>
      <c r="J343" s="302" t="str">
        <f t="shared" si="242"/>
        <v/>
      </c>
      <c r="K343" s="302" t="str">
        <f t="shared" si="242"/>
        <v/>
      </c>
      <c r="L343" s="302" t="str">
        <f>IF($H343="Monthly",$E343/12,IF($H343="Quarterly (From April)",$E343/4,IF($H343="Termly",0,IF($H343="Monthly (excl. August)",$E343/11,""))))</f>
        <v/>
      </c>
      <c r="M343" s="302" t="str">
        <f>IF($H343="Monthly",$E343/12,IF($H343="Quarterly (From April)",0,IF($H343="Termly",0,IF($H343="Monthly (excl. August)",0,""))))</f>
        <v/>
      </c>
      <c r="N343" s="302" t="str">
        <f>IF($H343="Monthly",$E343/12,IF($H343="Quarterly (From April)",0,IF($H343="Termly",$E343/3,IF($H343="Monthly (excl. August)",$E343/11,""))))</f>
        <v/>
      </c>
      <c r="O343" s="302" t="str">
        <f>IF($H343="Monthly",$E343/12,IF($H343="Quarterly (From April)",$E343/4,IF($H343="Termly",0,IF($H343="Monthly (excl. August)",$E343/11,""))))</f>
        <v/>
      </c>
      <c r="P343" s="302" t="str">
        <f t="shared" si="243"/>
        <v/>
      </c>
      <c r="Q343" s="302" t="str">
        <f t="shared" si="243"/>
        <v/>
      </c>
      <c r="R343" s="302" t="str">
        <f>IF($H343="Monthly",$E343/12,IF($H343="Quarterly (From April)",$E343/4,IF($H343="Termly",$E343/3,IF($H343="Monthly (excl. August)",$E343/11,""))))</f>
        <v/>
      </c>
      <c r="S343" s="302" t="str">
        <f t="shared" si="244"/>
        <v/>
      </c>
      <c r="T343" s="302" t="str">
        <f t="shared" si="244"/>
        <v/>
      </c>
      <c r="U343" s="303">
        <f>E343</f>
        <v>0</v>
      </c>
      <c r="V343" s="214">
        <f>IF(ROUND(SUM(I343:T343),0)&gt;U343,1,IF(ROUND(SUM(I343:T343),0)&lt;U343,1,0))</f>
        <v>0</v>
      </c>
      <c r="W343" s="322">
        <f t="shared" si="222"/>
        <v>0</v>
      </c>
    </row>
    <row r="344" spans="1:23" ht="13.5" thickBot="1" x14ac:dyDescent="0.25">
      <c r="A344" s="41"/>
      <c r="B344" s="117"/>
      <c r="C344" s="101"/>
      <c r="D344" s="102"/>
      <c r="E344" s="259"/>
      <c r="F344" s="260"/>
      <c r="G344" s="11"/>
      <c r="I344" s="306"/>
      <c r="J344" s="306"/>
      <c r="K344" s="306"/>
      <c r="L344" s="306"/>
      <c r="M344" s="306"/>
      <c r="N344" s="306"/>
      <c r="O344" s="306"/>
      <c r="P344" s="306"/>
      <c r="Q344" s="306"/>
      <c r="R344" s="306"/>
      <c r="S344" s="306"/>
      <c r="T344" s="306"/>
      <c r="U344" s="305"/>
      <c r="W344" s="322">
        <f t="shared" si="222"/>
        <v>0</v>
      </c>
    </row>
    <row r="345" spans="1:23" x14ac:dyDescent="0.2">
      <c r="A345" s="1098" t="s">
        <v>507</v>
      </c>
      <c r="B345" s="156">
        <v>2012</v>
      </c>
      <c r="C345" s="113" t="s">
        <v>757</v>
      </c>
      <c r="D345" s="93" t="s">
        <v>1053</v>
      </c>
      <c r="E345" s="246">
        <v>202</v>
      </c>
      <c r="F345" s="247"/>
      <c r="H345" s="43" t="s">
        <v>293</v>
      </c>
      <c r="I345" s="302">
        <f t="shared" ref="I345:I361" si="245">IF($H345="Monthly",$E345/12,IF($H345="Quarterly (From April)",$E345/4,IF($H345="Termly",$E345/3,IF($H345="Monthly (excl. August)",$E345/11,""))))</f>
        <v>67.333333333333329</v>
      </c>
      <c r="J345" s="302">
        <f t="shared" ref="J345:K361" si="246">IF($H345="Monthly",$E345/12,IF($H345="Quarterly (From April)",0,IF($H345="Termly",0,IF($H345="Monthly (excl. August)",$E345/11,""))))</f>
        <v>0</v>
      </c>
      <c r="K345" s="302">
        <f t="shared" si="246"/>
        <v>0</v>
      </c>
      <c r="L345" s="302">
        <f t="shared" ref="L345:L361" si="247">IF($H345="Monthly",$E345/12,IF($H345="Quarterly (From April)",$E345/4,IF($H345="Termly",0,IF($H345="Monthly (excl. August)",$E345/11,""))))</f>
        <v>0</v>
      </c>
      <c r="M345" s="302">
        <f t="shared" ref="M345:M361" si="248">IF($H345="Monthly",$E345/12,IF($H345="Quarterly (From April)",0,IF($H345="Termly",0,IF($H345="Monthly (excl. August)",0,""))))</f>
        <v>0</v>
      </c>
      <c r="N345" s="302">
        <f t="shared" ref="N345:N361" si="249">IF($H345="Monthly",$E345/12,IF($H345="Quarterly (From April)",0,IF($H345="Termly",$E345/3,IF($H345="Monthly (excl. August)",$E345/11,""))))</f>
        <v>67.333333333333329</v>
      </c>
      <c r="O345" s="302">
        <f t="shared" ref="O345:O361" si="250">IF($H345="Monthly",$E345/12,IF($H345="Quarterly (From April)",$E345/4,IF($H345="Termly",0,IF($H345="Monthly (excl. August)",$E345/11,""))))</f>
        <v>0</v>
      </c>
      <c r="P345" s="302">
        <f t="shared" ref="P345:Q361" si="251">IF($H345="Monthly",$E345/12,IF($H345="Quarterly (From April)",0,IF($H345="Termly",0,IF($H345="Monthly (excl. August)",$E345/11,""))))</f>
        <v>0</v>
      </c>
      <c r="Q345" s="302">
        <f t="shared" si="251"/>
        <v>0</v>
      </c>
      <c r="R345" s="302">
        <f t="shared" ref="R345:R361" si="252">IF($H345="Monthly",$E345/12,IF($H345="Quarterly (From April)",$E345/4,IF($H345="Termly",$E345/3,IF($H345="Monthly (excl. August)",$E345/11,""))))</f>
        <v>67.333333333333329</v>
      </c>
      <c r="S345" s="302">
        <f t="shared" ref="S345:T361" si="253">IF($H345="Monthly",$E345/12,IF($H345="Quarterly (From April)",0,IF($H345="Termly",0,IF($H345="Monthly (excl. August)",$E345/11,""))))</f>
        <v>0</v>
      </c>
      <c r="T345" s="302">
        <f t="shared" si="253"/>
        <v>0</v>
      </c>
      <c r="U345" s="303">
        <f t="shared" ref="U345:U361" si="254">E345</f>
        <v>202</v>
      </c>
      <c r="V345" s="214">
        <f t="shared" ref="V345:V361" si="255">IF(ROUND(SUM(I345:T345),0)&gt;U345,1,IF(ROUND(SUM(I345:T345),0)&lt;U345,1,0))</f>
        <v>0</v>
      </c>
      <c r="W345" s="322">
        <f t="shared" ref="W345:W361" si="256">ROUND(SUM(I345:T345)-U345,0)</f>
        <v>0</v>
      </c>
    </row>
    <row r="346" spans="1:23" x14ac:dyDescent="0.2">
      <c r="A346" s="1099"/>
      <c r="B346" s="157">
        <v>2014</v>
      </c>
      <c r="C346" s="108" t="s">
        <v>508</v>
      </c>
      <c r="D346" s="94"/>
      <c r="E346" s="250"/>
      <c r="F346" s="249"/>
      <c r="H346" s="43" t="s">
        <v>267</v>
      </c>
      <c r="I346" s="302" t="str">
        <f t="shared" si="245"/>
        <v/>
      </c>
      <c r="J346" s="302" t="str">
        <f t="shared" si="246"/>
        <v/>
      </c>
      <c r="K346" s="302" t="str">
        <f t="shared" si="246"/>
        <v/>
      </c>
      <c r="L346" s="302" t="str">
        <f t="shared" si="247"/>
        <v/>
      </c>
      <c r="M346" s="302" t="str">
        <f t="shared" si="248"/>
        <v/>
      </c>
      <c r="N346" s="302" t="str">
        <f t="shared" si="249"/>
        <v/>
      </c>
      <c r="O346" s="302" t="str">
        <f t="shared" si="250"/>
        <v/>
      </c>
      <c r="P346" s="302" t="str">
        <f t="shared" si="251"/>
        <v/>
      </c>
      <c r="Q346" s="302" t="str">
        <f t="shared" si="251"/>
        <v/>
      </c>
      <c r="R346" s="302" t="str">
        <f t="shared" si="252"/>
        <v/>
      </c>
      <c r="S346" s="302" t="str">
        <f t="shared" si="253"/>
        <v/>
      </c>
      <c r="T346" s="302" t="str">
        <f t="shared" si="253"/>
        <v/>
      </c>
      <c r="U346" s="303">
        <f t="shared" si="254"/>
        <v>0</v>
      </c>
      <c r="V346" s="214">
        <f t="shared" si="255"/>
        <v>0</v>
      </c>
      <c r="W346" s="322">
        <f t="shared" si="256"/>
        <v>0</v>
      </c>
    </row>
    <row r="347" spans="1:23" x14ac:dyDescent="0.2">
      <c r="A347" s="1099"/>
      <c r="B347" s="157">
        <v>2040</v>
      </c>
      <c r="C347" s="114" t="s">
        <v>655</v>
      </c>
      <c r="D347" s="95"/>
      <c r="E347" s="250"/>
      <c r="F347" s="251"/>
      <c r="H347" s="43" t="s">
        <v>267</v>
      </c>
      <c r="I347" s="302" t="str">
        <f t="shared" si="245"/>
        <v/>
      </c>
      <c r="J347" s="302" t="str">
        <f t="shared" si="246"/>
        <v/>
      </c>
      <c r="K347" s="302" t="str">
        <f t="shared" si="246"/>
        <v/>
      </c>
      <c r="L347" s="302" t="str">
        <f t="shared" si="247"/>
        <v/>
      </c>
      <c r="M347" s="302" t="str">
        <f t="shared" si="248"/>
        <v/>
      </c>
      <c r="N347" s="302" t="str">
        <f t="shared" si="249"/>
        <v/>
      </c>
      <c r="O347" s="302" t="str">
        <f t="shared" si="250"/>
        <v/>
      </c>
      <c r="P347" s="302" t="str">
        <f t="shared" si="251"/>
        <v/>
      </c>
      <c r="Q347" s="302" t="str">
        <f t="shared" si="251"/>
        <v/>
      </c>
      <c r="R347" s="302" t="str">
        <f t="shared" si="252"/>
        <v/>
      </c>
      <c r="S347" s="302" t="str">
        <f t="shared" si="253"/>
        <v/>
      </c>
      <c r="T347" s="302" t="str">
        <f t="shared" si="253"/>
        <v/>
      </c>
      <c r="U347" s="303">
        <f t="shared" si="254"/>
        <v>0</v>
      </c>
      <c r="V347" s="214">
        <f t="shared" si="255"/>
        <v>0</v>
      </c>
      <c r="W347" s="322">
        <f t="shared" si="256"/>
        <v>0</v>
      </c>
    </row>
    <row r="348" spans="1:23" x14ac:dyDescent="0.2">
      <c r="A348" s="1099"/>
      <c r="B348" s="157">
        <v>4001</v>
      </c>
      <c r="C348" s="108" t="s">
        <v>509</v>
      </c>
      <c r="D348" s="95" t="s">
        <v>1053</v>
      </c>
      <c r="E348" s="250">
        <v>348</v>
      </c>
      <c r="F348" s="251"/>
      <c r="H348" s="43" t="s">
        <v>293</v>
      </c>
      <c r="I348" s="302">
        <f t="shared" si="245"/>
        <v>116</v>
      </c>
      <c r="J348" s="302">
        <f t="shared" si="246"/>
        <v>0</v>
      </c>
      <c r="K348" s="302">
        <f t="shared" si="246"/>
        <v>0</v>
      </c>
      <c r="L348" s="302">
        <f t="shared" si="247"/>
        <v>0</v>
      </c>
      <c r="M348" s="302">
        <f t="shared" si="248"/>
        <v>0</v>
      </c>
      <c r="N348" s="302">
        <f t="shared" si="249"/>
        <v>116</v>
      </c>
      <c r="O348" s="302">
        <f t="shared" si="250"/>
        <v>0</v>
      </c>
      <c r="P348" s="302">
        <f t="shared" si="251"/>
        <v>0</v>
      </c>
      <c r="Q348" s="302">
        <f t="shared" si="251"/>
        <v>0</v>
      </c>
      <c r="R348" s="302">
        <f t="shared" si="252"/>
        <v>116</v>
      </c>
      <c r="S348" s="302">
        <f t="shared" si="253"/>
        <v>0</v>
      </c>
      <c r="T348" s="302">
        <f t="shared" si="253"/>
        <v>0</v>
      </c>
      <c r="U348" s="303">
        <f t="shared" si="254"/>
        <v>348</v>
      </c>
      <c r="V348" s="214">
        <f t="shared" si="255"/>
        <v>0</v>
      </c>
      <c r="W348" s="322">
        <f t="shared" si="256"/>
        <v>0</v>
      </c>
    </row>
    <row r="349" spans="1:23" x14ac:dyDescent="0.2">
      <c r="A349" s="1099"/>
      <c r="B349" s="157">
        <v>4003</v>
      </c>
      <c r="C349" s="108" t="s">
        <v>510</v>
      </c>
      <c r="D349" s="95" t="s">
        <v>1053</v>
      </c>
      <c r="E349" s="250">
        <v>247</v>
      </c>
      <c r="F349" s="251"/>
      <c r="H349" s="43" t="s">
        <v>291</v>
      </c>
      <c r="I349" s="302">
        <v>247</v>
      </c>
      <c r="J349" s="302" t="str">
        <f t="shared" si="246"/>
        <v/>
      </c>
      <c r="K349" s="302" t="str">
        <f t="shared" si="246"/>
        <v/>
      </c>
      <c r="L349" s="302" t="str">
        <f t="shared" si="247"/>
        <v/>
      </c>
      <c r="M349" s="302" t="str">
        <f t="shared" si="248"/>
        <v/>
      </c>
      <c r="N349" s="302" t="str">
        <f t="shared" si="249"/>
        <v/>
      </c>
      <c r="O349" s="302" t="str">
        <f t="shared" si="250"/>
        <v/>
      </c>
      <c r="P349" s="302" t="str">
        <f t="shared" si="251"/>
        <v/>
      </c>
      <c r="Q349" s="302" t="str">
        <f t="shared" si="251"/>
        <v/>
      </c>
      <c r="R349" s="302" t="str">
        <f t="shared" si="252"/>
        <v/>
      </c>
      <c r="S349" s="302" t="str">
        <f t="shared" si="253"/>
        <v/>
      </c>
      <c r="T349" s="302" t="str">
        <f t="shared" si="253"/>
        <v/>
      </c>
      <c r="U349" s="303">
        <f t="shared" si="254"/>
        <v>247</v>
      </c>
      <c r="V349" s="214">
        <f t="shared" si="255"/>
        <v>0</v>
      </c>
      <c r="W349" s="322">
        <f t="shared" si="256"/>
        <v>0</v>
      </c>
    </row>
    <row r="350" spans="1:23" x14ac:dyDescent="0.2">
      <c r="A350" s="1099"/>
      <c r="B350" s="157">
        <v>4026</v>
      </c>
      <c r="C350" s="114" t="s">
        <v>661</v>
      </c>
      <c r="D350" s="95"/>
      <c r="E350" s="250"/>
      <c r="F350" s="251"/>
      <c r="H350" s="43" t="s">
        <v>267</v>
      </c>
      <c r="I350" s="302" t="str">
        <f t="shared" si="245"/>
        <v/>
      </c>
      <c r="J350" s="302" t="str">
        <f t="shared" si="246"/>
        <v/>
      </c>
      <c r="K350" s="302" t="str">
        <f t="shared" si="246"/>
        <v/>
      </c>
      <c r="L350" s="302" t="str">
        <f t="shared" si="247"/>
        <v/>
      </c>
      <c r="M350" s="302" t="str">
        <f t="shared" si="248"/>
        <v/>
      </c>
      <c r="N350" s="302" t="str">
        <f t="shared" si="249"/>
        <v/>
      </c>
      <c r="O350" s="302" t="str">
        <f t="shared" si="250"/>
        <v/>
      </c>
      <c r="P350" s="302" t="str">
        <f t="shared" si="251"/>
        <v/>
      </c>
      <c r="Q350" s="302" t="str">
        <f t="shared" si="251"/>
        <v/>
      </c>
      <c r="R350" s="302" t="str">
        <f t="shared" si="252"/>
        <v/>
      </c>
      <c r="S350" s="302" t="str">
        <f t="shared" si="253"/>
        <v/>
      </c>
      <c r="T350" s="302" t="str">
        <f t="shared" si="253"/>
        <v/>
      </c>
      <c r="U350" s="303">
        <f t="shared" si="254"/>
        <v>0</v>
      </c>
      <c r="V350" s="214">
        <f t="shared" si="255"/>
        <v>0</v>
      </c>
      <c r="W350" s="322">
        <f t="shared" si="256"/>
        <v>0</v>
      </c>
    </row>
    <row r="351" spans="1:23" x14ac:dyDescent="0.2">
      <c r="A351" s="1099"/>
      <c r="B351" s="157">
        <v>4015</v>
      </c>
      <c r="C351" s="114" t="s">
        <v>666</v>
      </c>
      <c r="D351" s="95"/>
      <c r="E351" s="250"/>
      <c r="F351" s="251"/>
      <c r="H351" s="43" t="s">
        <v>267</v>
      </c>
      <c r="I351" s="302" t="str">
        <f t="shared" si="245"/>
        <v/>
      </c>
      <c r="J351" s="302" t="str">
        <f t="shared" si="246"/>
        <v/>
      </c>
      <c r="K351" s="302" t="str">
        <f t="shared" si="246"/>
        <v/>
      </c>
      <c r="L351" s="302" t="str">
        <f t="shared" si="247"/>
        <v/>
      </c>
      <c r="M351" s="302" t="str">
        <f t="shared" si="248"/>
        <v/>
      </c>
      <c r="N351" s="302" t="str">
        <f t="shared" si="249"/>
        <v/>
      </c>
      <c r="O351" s="302" t="str">
        <f t="shared" si="250"/>
        <v/>
      </c>
      <c r="P351" s="302" t="str">
        <f t="shared" si="251"/>
        <v/>
      </c>
      <c r="Q351" s="302" t="str">
        <f t="shared" si="251"/>
        <v/>
      </c>
      <c r="R351" s="302" t="str">
        <f t="shared" si="252"/>
        <v/>
      </c>
      <c r="S351" s="302" t="str">
        <f t="shared" si="253"/>
        <v/>
      </c>
      <c r="T351" s="302" t="str">
        <f t="shared" si="253"/>
        <v/>
      </c>
      <c r="U351" s="303">
        <f t="shared" si="254"/>
        <v>0</v>
      </c>
      <c r="V351" s="214">
        <f t="shared" si="255"/>
        <v>0</v>
      </c>
      <c r="W351" s="322">
        <f t="shared" si="256"/>
        <v>0</v>
      </c>
    </row>
    <row r="352" spans="1:23" x14ac:dyDescent="0.2">
      <c r="A352" s="1099"/>
      <c r="B352" s="157">
        <v>4028</v>
      </c>
      <c r="C352" s="114" t="s">
        <v>667</v>
      </c>
      <c r="D352" s="95" t="s">
        <v>1053</v>
      </c>
      <c r="E352" s="250">
        <v>68</v>
      </c>
      <c r="F352" s="251"/>
      <c r="H352" s="43" t="s">
        <v>292</v>
      </c>
      <c r="I352" s="302">
        <f t="shared" si="245"/>
        <v>17</v>
      </c>
      <c r="J352" s="302">
        <f t="shared" si="246"/>
        <v>0</v>
      </c>
      <c r="K352" s="302">
        <f t="shared" si="246"/>
        <v>0</v>
      </c>
      <c r="L352" s="302">
        <f t="shared" si="247"/>
        <v>17</v>
      </c>
      <c r="M352" s="302">
        <f t="shared" si="248"/>
        <v>0</v>
      </c>
      <c r="N352" s="302">
        <f t="shared" si="249"/>
        <v>0</v>
      </c>
      <c r="O352" s="302">
        <f t="shared" si="250"/>
        <v>17</v>
      </c>
      <c r="P352" s="302">
        <f t="shared" si="251"/>
        <v>0</v>
      </c>
      <c r="Q352" s="302">
        <f t="shared" si="251"/>
        <v>0</v>
      </c>
      <c r="R352" s="302">
        <f t="shared" si="252"/>
        <v>17</v>
      </c>
      <c r="S352" s="302">
        <f t="shared" si="253"/>
        <v>0</v>
      </c>
      <c r="T352" s="302">
        <f t="shared" si="253"/>
        <v>0</v>
      </c>
      <c r="U352" s="303">
        <f t="shared" si="254"/>
        <v>68</v>
      </c>
      <c r="V352" s="214">
        <f t="shared" si="255"/>
        <v>0</v>
      </c>
      <c r="W352" s="322">
        <f t="shared" si="256"/>
        <v>0</v>
      </c>
    </row>
    <row r="353" spans="1:23" x14ac:dyDescent="0.2">
      <c r="A353" s="1099"/>
      <c r="B353" s="157">
        <v>4099</v>
      </c>
      <c r="C353" s="114" t="s">
        <v>514</v>
      </c>
      <c r="D353" s="95"/>
      <c r="E353" s="250"/>
      <c r="F353" s="251"/>
      <c r="H353" s="43" t="s">
        <v>267</v>
      </c>
      <c r="I353" s="302" t="str">
        <f t="shared" si="245"/>
        <v/>
      </c>
      <c r="J353" s="302" t="str">
        <f t="shared" si="246"/>
        <v/>
      </c>
      <c r="K353" s="302" t="str">
        <f t="shared" si="246"/>
        <v/>
      </c>
      <c r="L353" s="302" t="str">
        <f t="shared" si="247"/>
        <v/>
      </c>
      <c r="M353" s="302" t="str">
        <f t="shared" si="248"/>
        <v/>
      </c>
      <c r="N353" s="302" t="str">
        <f t="shared" si="249"/>
        <v/>
      </c>
      <c r="O353" s="302" t="str">
        <f t="shared" si="250"/>
        <v/>
      </c>
      <c r="P353" s="302" t="str">
        <f t="shared" si="251"/>
        <v/>
      </c>
      <c r="Q353" s="302" t="str">
        <f t="shared" si="251"/>
        <v/>
      </c>
      <c r="R353" s="302" t="str">
        <f t="shared" si="252"/>
        <v/>
      </c>
      <c r="S353" s="302" t="str">
        <f t="shared" si="253"/>
        <v/>
      </c>
      <c r="T353" s="302" t="str">
        <f t="shared" si="253"/>
        <v/>
      </c>
      <c r="U353" s="303">
        <f t="shared" si="254"/>
        <v>0</v>
      </c>
      <c r="V353" s="214">
        <f t="shared" si="255"/>
        <v>0</v>
      </c>
      <c r="W353" s="322">
        <f t="shared" si="256"/>
        <v>0</v>
      </c>
    </row>
    <row r="354" spans="1:23" x14ac:dyDescent="0.2">
      <c r="A354" s="1099"/>
      <c r="B354" s="157"/>
      <c r="C354" s="114"/>
      <c r="D354" s="95"/>
      <c r="E354" s="250"/>
      <c r="F354" s="251"/>
      <c r="H354" s="43" t="s">
        <v>267</v>
      </c>
      <c r="I354" s="302" t="str">
        <f t="shared" si="245"/>
        <v/>
      </c>
      <c r="J354" s="302" t="str">
        <f t="shared" si="246"/>
        <v/>
      </c>
      <c r="K354" s="302" t="str">
        <f t="shared" si="246"/>
        <v/>
      </c>
      <c r="L354" s="302" t="str">
        <f t="shared" si="247"/>
        <v/>
      </c>
      <c r="M354" s="302" t="str">
        <f t="shared" si="248"/>
        <v/>
      </c>
      <c r="N354" s="302" t="str">
        <f t="shared" si="249"/>
        <v/>
      </c>
      <c r="O354" s="302" t="str">
        <f t="shared" si="250"/>
        <v/>
      </c>
      <c r="P354" s="302" t="str">
        <f t="shared" si="251"/>
        <v/>
      </c>
      <c r="Q354" s="302" t="str">
        <f t="shared" si="251"/>
        <v/>
      </c>
      <c r="R354" s="302" t="str">
        <f t="shared" si="252"/>
        <v/>
      </c>
      <c r="S354" s="302" t="str">
        <f t="shared" si="253"/>
        <v/>
      </c>
      <c r="T354" s="302" t="str">
        <f t="shared" si="253"/>
        <v/>
      </c>
      <c r="U354" s="303">
        <f t="shared" si="254"/>
        <v>0</v>
      </c>
      <c r="V354" s="214">
        <f t="shared" si="255"/>
        <v>0</v>
      </c>
      <c r="W354" s="322">
        <f t="shared" si="256"/>
        <v>0</v>
      </c>
    </row>
    <row r="355" spans="1:23" x14ac:dyDescent="0.2">
      <c r="A355" s="1099"/>
      <c r="B355" s="157"/>
      <c r="C355" s="114"/>
      <c r="D355" s="95"/>
      <c r="E355" s="250"/>
      <c r="F355" s="251"/>
      <c r="H355" s="43" t="s">
        <v>267</v>
      </c>
      <c r="I355" s="302" t="str">
        <f t="shared" si="245"/>
        <v/>
      </c>
      <c r="J355" s="302" t="str">
        <f t="shared" si="246"/>
        <v/>
      </c>
      <c r="K355" s="302" t="str">
        <f t="shared" si="246"/>
        <v/>
      </c>
      <c r="L355" s="302" t="str">
        <f t="shared" si="247"/>
        <v/>
      </c>
      <c r="M355" s="302" t="str">
        <f t="shared" si="248"/>
        <v/>
      </c>
      <c r="N355" s="302" t="str">
        <f t="shared" si="249"/>
        <v/>
      </c>
      <c r="O355" s="302" t="str">
        <f t="shared" si="250"/>
        <v/>
      </c>
      <c r="P355" s="302" t="str">
        <f t="shared" si="251"/>
        <v/>
      </c>
      <c r="Q355" s="302" t="str">
        <f t="shared" si="251"/>
        <v/>
      </c>
      <c r="R355" s="302" t="str">
        <f t="shared" si="252"/>
        <v/>
      </c>
      <c r="S355" s="302" t="str">
        <f t="shared" si="253"/>
        <v/>
      </c>
      <c r="T355" s="302" t="str">
        <f t="shared" si="253"/>
        <v/>
      </c>
      <c r="U355" s="303">
        <f t="shared" si="254"/>
        <v>0</v>
      </c>
      <c r="V355" s="214">
        <f t="shared" si="255"/>
        <v>0</v>
      </c>
      <c r="W355" s="322">
        <f t="shared" si="256"/>
        <v>0</v>
      </c>
    </row>
    <row r="356" spans="1:23" x14ac:dyDescent="0.2">
      <c r="A356" s="1099"/>
      <c r="B356" s="157"/>
      <c r="C356" s="108"/>
      <c r="D356" s="95"/>
      <c r="E356" s="250"/>
      <c r="F356" s="251"/>
      <c r="H356" s="43" t="s">
        <v>267</v>
      </c>
      <c r="I356" s="302" t="str">
        <f t="shared" si="245"/>
        <v/>
      </c>
      <c r="J356" s="302" t="str">
        <f t="shared" si="246"/>
        <v/>
      </c>
      <c r="K356" s="302" t="str">
        <f t="shared" si="246"/>
        <v/>
      </c>
      <c r="L356" s="302" t="str">
        <f t="shared" si="247"/>
        <v/>
      </c>
      <c r="M356" s="302" t="str">
        <f t="shared" si="248"/>
        <v/>
      </c>
      <c r="N356" s="302" t="str">
        <f t="shared" si="249"/>
        <v/>
      </c>
      <c r="O356" s="302" t="str">
        <f t="shared" si="250"/>
        <v/>
      </c>
      <c r="P356" s="302" t="str">
        <f t="shared" si="251"/>
        <v/>
      </c>
      <c r="Q356" s="302" t="str">
        <f t="shared" si="251"/>
        <v/>
      </c>
      <c r="R356" s="302" t="str">
        <f t="shared" si="252"/>
        <v/>
      </c>
      <c r="S356" s="302" t="str">
        <f t="shared" si="253"/>
        <v/>
      </c>
      <c r="T356" s="302" t="str">
        <f t="shared" si="253"/>
        <v/>
      </c>
      <c r="U356" s="303">
        <f t="shared" si="254"/>
        <v>0</v>
      </c>
      <c r="V356" s="214">
        <f t="shared" si="255"/>
        <v>0</v>
      </c>
      <c r="W356" s="322">
        <f t="shared" si="256"/>
        <v>0</v>
      </c>
    </row>
    <row r="357" spans="1:23" x14ac:dyDescent="0.2">
      <c r="A357" s="1099"/>
      <c r="B357" s="157"/>
      <c r="C357" s="108"/>
      <c r="D357" s="95"/>
      <c r="E357" s="250"/>
      <c r="F357" s="251"/>
      <c r="H357" s="43" t="s">
        <v>267</v>
      </c>
      <c r="I357" s="302" t="str">
        <f t="shared" si="245"/>
        <v/>
      </c>
      <c r="J357" s="302" t="str">
        <f t="shared" si="246"/>
        <v/>
      </c>
      <c r="K357" s="302" t="str">
        <f t="shared" si="246"/>
        <v/>
      </c>
      <c r="L357" s="302" t="str">
        <f t="shared" si="247"/>
        <v/>
      </c>
      <c r="M357" s="302" t="str">
        <f t="shared" si="248"/>
        <v/>
      </c>
      <c r="N357" s="302" t="str">
        <f t="shared" si="249"/>
        <v/>
      </c>
      <c r="O357" s="302" t="str">
        <f t="shared" si="250"/>
        <v/>
      </c>
      <c r="P357" s="302" t="str">
        <f t="shared" si="251"/>
        <v/>
      </c>
      <c r="Q357" s="302" t="str">
        <f t="shared" si="251"/>
        <v/>
      </c>
      <c r="R357" s="302" t="str">
        <f t="shared" si="252"/>
        <v/>
      </c>
      <c r="S357" s="302" t="str">
        <f t="shared" si="253"/>
        <v/>
      </c>
      <c r="T357" s="302" t="str">
        <f t="shared" si="253"/>
        <v/>
      </c>
      <c r="U357" s="303">
        <f t="shared" si="254"/>
        <v>0</v>
      </c>
      <c r="V357" s="214">
        <f t="shared" si="255"/>
        <v>0</v>
      </c>
      <c r="W357" s="322">
        <f t="shared" si="256"/>
        <v>0</v>
      </c>
    </row>
    <row r="358" spans="1:23" x14ac:dyDescent="0.2">
      <c r="A358" s="1099"/>
      <c r="B358" s="157"/>
      <c r="C358" s="108"/>
      <c r="D358" s="95"/>
      <c r="E358" s="250"/>
      <c r="F358" s="251"/>
      <c r="H358" s="43" t="s">
        <v>267</v>
      </c>
      <c r="I358" s="302" t="str">
        <f t="shared" si="245"/>
        <v/>
      </c>
      <c r="J358" s="302" t="str">
        <f t="shared" si="246"/>
        <v/>
      </c>
      <c r="K358" s="302" t="str">
        <f t="shared" si="246"/>
        <v/>
      </c>
      <c r="L358" s="302" t="str">
        <f t="shared" si="247"/>
        <v/>
      </c>
      <c r="M358" s="302" t="str">
        <f t="shared" si="248"/>
        <v/>
      </c>
      <c r="N358" s="302" t="str">
        <f t="shared" si="249"/>
        <v/>
      </c>
      <c r="O358" s="302" t="str">
        <f t="shared" si="250"/>
        <v/>
      </c>
      <c r="P358" s="302" t="str">
        <f t="shared" si="251"/>
        <v/>
      </c>
      <c r="Q358" s="302" t="str">
        <f t="shared" si="251"/>
        <v/>
      </c>
      <c r="R358" s="302" t="str">
        <f t="shared" si="252"/>
        <v/>
      </c>
      <c r="S358" s="302" t="str">
        <f t="shared" si="253"/>
        <v/>
      </c>
      <c r="T358" s="302" t="str">
        <f t="shared" si="253"/>
        <v/>
      </c>
      <c r="U358" s="303">
        <f t="shared" si="254"/>
        <v>0</v>
      </c>
      <c r="V358" s="214">
        <f t="shared" si="255"/>
        <v>0</v>
      </c>
      <c r="W358" s="322">
        <f t="shared" si="256"/>
        <v>0</v>
      </c>
    </row>
    <row r="359" spans="1:23" x14ac:dyDescent="0.2">
      <c r="A359" s="1099"/>
      <c r="B359" s="157"/>
      <c r="C359" s="108"/>
      <c r="D359" s="95"/>
      <c r="E359" s="250"/>
      <c r="F359" s="251"/>
      <c r="H359" s="43" t="s">
        <v>267</v>
      </c>
      <c r="I359" s="302" t="str">
        <f t="shared" si="245"/>
        <v/>
      </c>
      <c r="J359" s="302" t="str">
        <f t="shared" si="246"/>
        <v/>
      </c>
      <c r="K359" s="302" t="str">
        <f t="shared" si="246"/>
        <v/>
      </c>
      <c r="L359" s="302" t="str">
        <f t="shared" si="247"/>
        <v/>
      </c>
      <c r="M359" s="302" t="str">
        <f t="shared" si="248"/>
        <v/>
      </c>
      <c r="N359" s="302" t="str">
        <f t="shared" si="249"/>
        <v/>
      </c>
      <c r="O359" s="302" t="str">
        <f t="shared" si="250"/>
        <v/>
      </c>
      <c r="P359" s="302" t="str">
        <f t="shared" si="251"/>
        <v/>
      </c>
      <c r="Q359" s="302" t="str">
        <f t="shared" si="251"/>
        <v/>
      </c>
      <c r="R359" s="302" t="str">
        <f t="shared" si="252"/>
        <v/>
      </c>
      <c r="S359" s="302" t="str">
        <f t="shared" si="253"/>
        <v/>
      </c>
      <c r="T359" s="302" t="str">
        <f t="shared" si="253"/>
        <v/>
      </c>
      <c r="U359" s="303">
        <f t="shared" si="254"/>
        <v>0</v>
      </c>
      <c r="V359" s="214">
        <f t="shared" si="255"/>
        <v>0</v>
      </c>
      <c r="W359" s="322">
        <f t="shared" si="256"/>
        <v>0</v>
      </c>
    </row>
    <row r="360" spans="1:23" x14ac:dyDescent="0.2">
      <c r="A360" s="1099"/>
      <c r="B360" s="157"/>
      <c r="C360" s="108"/>
      <c r="D360" s="95"/>
      <c r="E360" s="250"/>
      <c r="F360" s="251"/>
      <c r="H360" s="43" t="s">
        <v>267</v>
      </c>
      <c r="I360" s="302" t="str">
        <f t="shared" si="245"/>
        <v/>
      </c>
      <c r="J360" s="302" t="str">
        <f t="shared" si="246"/>
        <v/>
      </c>
      <c r="K360" s="302" t="str">
        <f t="shared" si="246"/>
        <v/>
      </c>
      <c r="L360" s="302" t="str">
        <f t="shared" si="247"/>
        <v/>
      </c>
      <c r="M360" s="302" t="str">
        <f t="shared" si="248"/>
        <v/>
      </c>
      <c r="N360" s="302" t="str">
        <f t="shared" si="249"/>
        <v/>
      </c>
      <c r="O360" s="302" t="str">
        <f t="shared" si="250"/>
        <v/>
      </c>
      <c r="P360" s="302" t="str">
        <f t="shared" si="251"/>
        <v/>
      </c>
      <c r="Q360" s="302" t="str">
        <f t="shared" si="251"/>
        <v/>
      </c>
      <c r="R360" s="302" t="str">
        <f t="shared" si="252"/>
        <v/>
      </c>
      <c r="S360" s="302" t="str">
        <f t="shared" si="253"/>
        <v/>
      </c>
      <c r="T360" s="302" t="str">
        <f t="shared" si="253"/>
        <v/>
      </c>
      <c r="U360" s="303">
        <f t="shared" si="254"/>
        <v>0</v>
      </c>
      <c r="V360" s="214">
        <f t="shared" si="255"/>
        <v>0</v>
      </c>
      <c r="W360" s="322">
        <f t="shared" si="256"/>
        <v>0</v>
      </c>
    </row>
    <row r="361" spans="1:23" ht="13.5" thickBot="1" x14ac:dyDescent="0.25">
      <c r="A361" s="1100"/>
      <c r="B361" s="158"/>
      <c r="C361" s="109"/>
      <c r="D361" s="100"/>
      <c r="E361" s="256"/>
      <c r="F361" s="257">
        <f>SUM(E345:E361)</f>
        <v>865</v>
      </c>
      <c r="H361" s="43" t="s">
        <v>267</v>
      </c>
      <c r="I361" s="302" t="str">
        <f t="shared" si="245"/>
        <v/>
      </c>
      <c r="J361" s="302" t="str">
        <f t="shared" si="246"/>
        <v/>
      </c>
      <c r="K361" s="302" t="str">
        <f t="shared" si="246"/>
        <v/>
      </c>
      <c r="L361" s="302" t="str">
        <f t="shared" si="247"/>
        <v/>
      </c>
      <c r="M361" s="302" t="str">
        <f t="shared" si="248"/>
        <v/>
      </c>
      <c r="N361" s="302" t="str">
        <f t="shared" si="249"/>
        <v/>
      </c>
      <c r="O361" s="302" t="str">
        <f t="shared" si="250"/>
        <v/>
      </c>
      <c r="P361" s="302" t="str">
        <f t="shared" si="251"/>
        <v/>
      </c>
      <c r="Q361" s="302" t="str">
        <f t="shared" si="251"/>
        <v/>
      </c>
      <c r="R361" s="302" t="str">
        <f t="shared" si="252"/>
        <v/>
      </c>
      <c r="S361" s="302" t="str">
        <f t="shared" si="253"/>
        <v/>
      </c>
      <c r="T361" s="302" t="str">
        <f t="shared" si="253"/>
        <v/>
      </c>
      <c r="U361" s="303">
        <f t="shared" si="254"/>
        <v>0</v>
      </c>
      <c r="V361" s="214">
        <f t="shared" si="255"/>
        <v>0</v>
      </c>
      <c r="W361" s="322">
        <f t="shared" si="256"/>
        <v>0</v>
      </c>
    </row>
    <row r="362" spans="1:23" ht="13.5" thickBot="1" x14ac:dyDescent="0.25">
      <c r="A362" s="8"/>
      <c r="B362" s="118"/>
      <c r="C362" s="106"/>
      <c r="D362" s="107"/>
      <c r="E362" s="267"/>
      <c r="F362" s="268"/>
      <c r="G362" s="11"/>
      <c r="I362" s="306"/>
      <c r="J362" s="306"/>
      <c r="K362" s="306"/>
      <c r="L362" s="306"/>
      <c r="M362" s="306"/>
      <c r="N362" s="306"/>
      <c r="O362" s="306"/>
      <c r="P362" s="306"/>
      <c r="Q362" s="306"/>
      <c r="R362" s="306"/>
      <c r="S362" s="306"/>
      <c r="T362" s="306"/>
      <c r="U362" s="305"/>
      <c r="W362" s="322"/>
    </row>
    <row r="363" spans="1:23" x14ac:dyDescent="0.2">
      <c r="A363" s="1098" t="s">
        <v>511</v>
      </c>
      <c r="B363" s="156">
        <v>4011</v>
      </c>
      <c r="C363" s="113" t="s">
        <v>511</v>
      </c>
      <c r="D363" s="93" t="s">
        <v>1054</v>
      </c>
      <c r="E363" s="246">
        <v>1246</v>
      </c>
      <c r="F363" s="247"/>
      <c r="H363" s="43" t="s">
        <v>290</v>
      </c>
      <c r="I363" s="302">
        <f>IF($H363="Monthly",$E363/12,IF($H363="Quarterly (From April)",$E363/4,IF($H363="Termly",$E363/3,IF($H363="Monthly (excl. August)",$E363/11,""))))</f>
        <v>103.83333333333333</v>
      </c>
      <c r="J363" s="302">
        <f t="shared" ref="J363:K366" si="257">IF($H363="Monthly",$E363/12,IF($H363="Quarterly (From April)",0,IF($H363="Termly",0,IF($H363="Monthly (excl. August)",$E363/11,""))))</f>
        <v>103.83333333333333</v>
      </c>
      <c r="K363" s="302">
        <f t="shared" si="257"/>
        <v>103.83333333333333</v>
      </c>
      <c r="L363" s="302">
        <f>IF($H363="Monthly",$E363/12,IF($H363="Quarterly (From April)",$E363/4,IF($H363="Termly",0,IF($H363="Monthly (excl. August)",$E363/11,""))))</f>
        <v>103.83333333333333</v>
      </c>
      <c r="M363" s="302">
        <f>IF($H363="Monthly",$E363/12,IF($H363="Quarterly (From April)",0,IF($H363="Termly",0,IF($H363="Monthly (excl. August)",0,""))))</f>
        <v>103.83333333333333</v>
      </c>
      <c r="N363" s="302">
        <f>IF($H363="Monthly",$E363/12,IF($H363="Quarterly (From April)",0,IF($H363="Termly",$E363/3,IF($H363="Monthly (excl. August)",$E363/11,""))))</f>
        <v>103.83333333333333</v>
      </c>
      <c r="O363" s="302">
        <f>IF($H363="Monthly",$E363/12,IF($H363="Quarterly (From April)",$E363/4,IF($H363="Termly",0,IF($H363="Monthly (excl. August)",$E363/11,""))))</f>
        <v>103.83333333333333</v>
      </c>
      <c r="P363" s="302">
        <f t="shared" ref="P363:Q366" si="258">IF($H363="Monthly",$E363/12,IF($H363="Quarterly (From April)",0,IF($H363="Termly",0,IF($H363="Monthly (excl. August)",$E363/11,""))))</f>
        <v>103.83333333333333</v>
      </c>
      <c r="Q363" s="302">
        <f t="shared" si="258"/>
        <v>103.83333333333333</v>
      </c>
      <c r="R363" s="302">
        <f>IF($H363="Monthly",$E363/12,IF($H363="Quarterly (From April)",$E363/4,IF($H363="Termly",$E363/3,IF($H363="Monthly (excl. August)",$E363/11,""))))</f>
        <v>103.83333333333333</v>
      </c>
      <c r="S363" s="302">
        <f t="shared" ref="S363:T366" si="259">IF($H363="Monthly",$E363/12,IF($H363="Quarterly (From April)",0,IF($H363="Termly",0,IF($H363="Monthly (excl. August)",$E363/11,""))))</f>
        <v>103.83333333333333</v>
      </c>
      <c r="T363" s="302">
        <f t="shared" si="259"/>
        <v>103.83333333333333</v>
      </c>
      <c r="U363" s="303">
        <f>E363</f>
        <v>1246</v>
      </c>
      <c r="V363" s="214">
        <f>IF(ROUND(SUM(I363:T363),0)&gt;U363,1,IF(ROUND(SUM(I363:T363),0)&lt;U363,1,0))</f>
        <v>0</v>
      </c>
      <c r="W363" s="322">
        <f>ROUND(SUM(I363:T363)-U363,0)</f>
        <v>0</v>
      </c>
    </row>
    <row r="364" spans="1:23" x14ac:dyDescent="0.2">
      <c r="A364" s="1099"/>
      <c r="B364" s="157"/>
      <c r="C364" s="108"/>
      <c r="D364" s="95"/>
      <c r="E364" s="250"/>
      <c r="F364" s="251"/>
      <c r="H364" s="43" t="s">
        <v>267</v>
      </c>
      <c r="I364" s="302" t="str">
        <f>IF($H364="Monthly",$E364/12,IF($H364="Quarterly (From April)",$E364/4,IF($H364="Termly",$E364/3,IF($H364="Monthly (excl. August)",$E364/11,""))))</f>
        <v/>
      </c>
      <c r="J364" s="302" t="str">
        <f t="shared" si="257"/>
        <v/>
      </c>
      <c r="K364" s="302" t="str">
        <f t="shared" si="257"/>
        <v/>
      </c>
      <c r="L364" s="302" t="str">
        <f>IF($H364="Monthly",$E364/12,IF($H364="Quarterly (From April)",$E364/4,IF($H364="Termly",0,IF($H364="Monthly (excl. August)",$E364/11,""))))</f>
        <v/>
      </c>
      <c r="M364" s="302" t="str">
        <f>IF($H364="Monthly",$E364/12,IF($H364="Quarterly (From April)",0,IF($H364="Termly",0,IF($H364="Monthly (excl. August)",0,""))))</f>
        <v/>
      </c>
      <c r="N364" s="302" t="str">
        <f>IF($H364="Monthly",$E364/12,IF($H364="Quarterly (From April)",0,IF($H364="Termly",$E364/3,IF($H364="Monthly (excl. August)",$E364/11,""))))</f>
        <v/>
      </c>
      <c r="O364" s="302" t="str">
        <f>IF($H364="Monthly",$E364/12,IF($H364="Quarterly (From April)",$E364/4,IF($H364="Termly",0,IF($H364="Monthly (excl. August)",$E364/11,""))))</f>
        <v/>
      </c>
      <c r="P364" s="302" t="str">
        <f t="shared" si="258"/>
        <v/>
      </c>
      <c r="Q364" s="302" t="str">
        <f t="shared" si="258"/>
        <v/>
      </c>
      <c r="R364" s="302" t="str">
        <f>IF($H364="Monthly",$E364/12,IF($H364="Quarterly (From April)",$E364/4,IF($H364="Termly",$E364/3,IF($H364="Monthly (excl. August)",$E364/11,""))))</f>
        <v/>
      </c>
      <c r="S364" s="302" t="str">
        <f t="shared" si="259"/>
        <v/>
      </c>
      <c r="T364" s="302" t="str">
        <f t="shared" si="259"/>
        <v/>
      </c>
      <c r="U364" s="303">
        <f>E364</f>
        <v>0</v>
      </c>
      <c r="V364" s="214">
        <f>IF(ROUND(SUM(I364:T364),0)&gt;U364,1,IF(ROUND(SUM(I364:T364),0)&lt;U364,1,0))</f>
        <v>0</v>
      </c>
      <c r="W364" s="322">
        <f>ROUND(SUM(I364:T364)-U364,0)</f>
        <v>0</v>
      </c>
    </row>
    <row r="365" spans="1:23" x14ac:dyDescent="0.2">
      <c r="A365" s="1099"/>
      <c r="B365" s="157"/>
      <c r="C365" s="108"/>
      <c r="D365" s="95"/>
      <c r="E365" s="250"/>
      <c r="F365" s="251"/>
      <c r="H365" s="43" t="s">
        <v>267</v>
      </c>
      <c r="I365" s="302" t="str">
        <f>IF($H365="Monthly",$E365/12,IF($H365="Quarterly (From April)",$E365/4,IF($H365="Termly",$E365/3,IF($H365="Monthly (excl. August)",$E365/11,""))))</f>
        <v/>
      </c>
      <c r="J365" s="302" t="str">
        <f t="shared" si="257"/>
        <v/>
      </c>
      <c r="K365" s="302" t="str">
        <f t="shared" si="257"/>
        <v/>
      </c>
      <c r="L365" s="302" t="str">
        <f>IF($H365="Monthly",$E365/12,IF($H365="Quarterly (From April)",$E365/4,IF($H365="Termly",0,IF($H365="Monthly (excl. August)",$E365/11,""))))</f>
        <v/>
      </c>
      <c r="M365" s="302" t="str">
        <f>IF($H365="Monthly",$E365/12,IF($H365="Quarterly (From April)",0,IF($H365="Termly",0,IF($H365="Monthly (excl. August)",0,""))))</f>
        <v/>
      </c>
      <c r="N365" s="302" t="str">
        <f>IF($H365="Monthly",$E365/12,IF($H365="Quarterly (From April)",0,IF($H365="Termly",$E365/3,IF($H365="Monthly (excl. August)",$E365/11,""))))</f>
        <v/>
      </c>
      <c r="O365" s="302" t="str">
        <f>IF($H365="Monthly",$E365/12,IF($H365="Quarterly (From April)",$E365/4,IF($H365="Termly",0,IF($H365="Monthly (excl. August)",$E365/11,""))))</f>
        <v/>
      </c>
      <c r="P365" s="302" t="str">
        <f t="shared" si="258"/>
        <v/>
      </c>
      <c r="Q365" s="302" t="str">
        <f t="shared" si="258"/>
        <v/>
      </c>
      <c r="R365" s="302" t="str">
        <f>IF($H365="Monthly",$E365/12,IF($H365="Quarterly (From April)",$E365/4,IF($H365="Termly",$E365/3,IF($H365="Monthly (excl. August)",$E365/11,""))))</f>
        <v/>
      </c>
      <c r="S365" s="302" t="str">
        <f t="shared" si="259"/>
        <v/>
      </c>
      <c r="T365" s="302" t="str">
        <f t="shared" si="259"/>
        <v/>
      </c>
      <c r="U365" s="303">
        <f>E365</f>
        <v>0</v>
      </c>
      <c r="V365" s="214">
        <f>IF(ROUND(SUM(I365:T365),0)&gt;U365,1,IF(ROUND(SUM(I365:T365),0)&lt;U365,1,0))</f>
        <v>0</v>
      </c>
      <c r="W365" s="322">
        <f>ROUND(SUM(I365:T365)-U365,0)</f>
        <v>0</v>
      </c>
    </row>
    <row r="366" spans="1:23" ht="13.5" thickBot="1" x14ac:dyDescent="0.25">
      <c r="A366" s="1100"/>
      <c r="B366" s="142">
        <v>4012</v>
      </c>
      <c r="C366" s="144" t="s">
        <v>512</v>
      </c>
      <c r="D366" s="310"/>
      <c r="E366" s="309"/>
      <c r="F366" s="257">
        <f>SUM(E363:E366)</f>
        <v>1246</v>
      </c>
      <c r="H366" s="43" t="s">
        <v>267</v>
      </c>
      <c r="I366" s="302" t="str">
        <f>IF($H366="Monthly",$E366/12,IF($H366="Quarterly (From April)",$E366/4,IF($H366="Termly",$E366/3,IF($H366="Monthly (excl. August)",$E366/11,""))))</f>
        <v/>
      </c>
      <c r="J366" s="302" t="str">
        <f t="shared" si="257"/>
        <v/>
      </c>
      <c r="K366" s="302" t="str">
        <f t="shared" si="257"/>
        <v/>
      </c>
      <c r="L366" s="302" t="str">
        <f>IF($H366="Monthly",$E366/12,IF($H366="Quarterly (From April)",$E366/4,IF($H366="Termly",0,IF($H366="Monthly (excl. August)",$E366/11,""))))</f>
        <v/>
      </c>
      <c r="M366" s="302" t="str">
        <f>IF($H366="Monthly",$E366/12,IF($H366="Quarterly (From April)",0,IF($H366="Termly",0,IF($H366="Monthly (excl. August)",0,""))))</f>
        <v/>
      </c>
      <c r="N366" s="302" t="str">
        <f>IF($H366="Monthly",$E366/12,IF($H366="Quarterly (From April)",0,IF($H366="Termly",$E366/3,IF($H366="Monthly (excl. August)",$E366/11,""))))</f>
        <v/>
      </c>
      <c r="O366" s="302" t="str">
        <f>IF($H366="Monthly",$E366/12,IF($H366="Quarterly (From April)",$E366/4,IF($H366="Termly",0,IF($H366="Monthly (excl. August)",$E366/11,""))))</f>
        <v/>
      </c>
      <c r="P366" s="302" t="str">
        <f t="shared" si="258"/>
        <v/>
      </c>
      <c r="Q366" s="302" t="str">
        <f t="shared" si="258"/>
        <v/>
      </c>
      <c r="R366" s="302" t="str">
        <f>IF($H366="Monthly",$E366/12,IF($H366="Quarterly (From April)",$E366/4,IF($H366="Termly",$E366/3,IF($H366="Monthly (excl. August)",$E366/11,""))))</f>
        <v/>
      </c>
      <c r="S366" s="302" t="str">
        <f t="shared" si="259"/>
        <v/>
      </c>
      <c r="T366" s="302" t="str">
        <f t="shared" si="259"/>
        <v/>
      </c>
      <c r="U366" s="303">
        <f>E366</f>
        <v>0</v>
      </c>
      <c r="V366" s="214">
        <f>IF(ROUND(SUM(I366:T366),0)&gt;U366,1,IF(ROUND(SUM(I366:T366),0)&lt;U366,1,0))</f>
        <v>0</v>
      </c>
      <c r="W366" s="322">
        <f>ROUND(SUM(I366:T366)-U366,0)</f>
        <v>0</v>
      </c>
    </row>
    <row r="367" spans="1:23" ht="13.5" thickBot="1" x14ac:dyDescent="0.25">
      <c r="A367" s="8"/>
      <c r="B367" s="118"/>
      <c r="C367" s="106"/>
      <c r="D367" s="107"/>
      <c r="E367" s="267"/>
      <c r="F367" s="268"/>
      <c r="I367" s="306"/>
      <c r="J367" s="306"/>
      <c r="K367" s="306"/>
      <c r="L367" s="306"/>
      <c r="M367" s="306"/>
      <c r="N367" s="306"/>
      <c r="O367" s="306"/>
      <c r="P367" s="306"/>
      <c r="Q367" s="306"/>
      <c r="R367" s="306"/>
      <c r="S367" s="306"/>
      <c r="T367" s="306"/>
      <c r="U367" s="305"/>
      <c r="W367" s="322"/>
    </row>
    <row r="368" spans="1:23" x14ac:dyDescent="0.2">
      <c r="A368" s="1098" t="s">
        <v>513</v>
      </c>
      <c r="B368" s="156">
        <v>2012</v>
      </c>
      <c r="C368" s="113" t="s">
        <v>592</v>
      </c>
      <c r="D368" s="93"/>
      <c r="E368" s="246"/>
      <c r="F368" s="247"/>
      <c r="H368" s="43" t="s">
        <v>267</v>
      </c>
      <c r="I368" s="302" t="str">
        <f>IF($H368="Monthly",$E368/12,IF($H368="Quarterly (From April)",$E368/4,IF($H368="Termly",$E368/3,IF($H368="Monthly (excl. August)",$E368/11,""))))</f>
        <v/>
      </c>
      <c r="J368" s="302" t="str">
        <f t="shared" ref="J368:K372" si="260">IF($H368="Monthly",$E368/12,IF($H368="Quarterly (From April)",0,IF($H368="Termly",0,IF($H368="Monthly (excl. August)",$E368/11,""))))</f>
        <v/>
      </c>
      <c r="K368" s="302" t="str">
        <f t="shared" si="260"/>
        <v/>
      </c>
      <c r="L368" s="302" t="str">
        <f>IF($H368="Monthly",$E368/12,IF($H368="Quarterly (From April)",$E368/4,IF($H368="Termly",0,IF($H368="Monthly (excl. August)",$E368/11,""))))</f>
        <v/>
      </c>
      <c r="M368" s="302" t="str">
        <f>IF($H368="Monthly",$E368/12,IF($H368="Quarterly (From April)",0,IF($H368="Termly",0,IF($H368="Monthly (excl. August)",0,""))))</f>
        <v/>
      </c>
      <c r="N368" s="302" t="str">
        <f>IF($H368="Monthly",$E368/12,IF($H368="Quarterly (From April)",0,IF($H368="Termly",$E368/3,IF($H368="Monthly (excl. August)",$E368/11,""))))</f>
        <v/>
      </c>
      <c r="O368" s="302" t="str">
        <f>IF($H368="Monthly",$E368/12,IF($H368="Quarterly (From April)",$E368/4,IF($H368="Termly",0,IF($H368="Monthly (excl. August)",$E368/11,""))))</f>
        <v/>
      </c>
      <c r="P368" s="302" t="str">
        <f t="shared" ref="P368:Q372" si="261">IF($H368="Monthly",$E368/12,IF($H368="Quarterly (From April)",0,IF($H368="Termly",0,IF($H368="Monthly (excl. August)",$E368/11,""))))</f>
        <v/>
      </c>
      <c r="Q368" s="302" t="str">
        <f t="shared" si="261"/>
        <v/>
      </c>
      <c r="R368" s="302" t="str">
        <f>IF($H368="Monthly",$E368/12,IF($H368="Quarterly (From April)",$E368/4,IF($H368="Termly",$E368/3,IF($H368="Monthly (excl. August)",$E368/11,""))))</f>
        <v/>
      </c>
      <c r="S368" s="302" t="str">
        <f t="shared" ref="S368:T372" si="262">IF($H368="Monthly",$E368/12,IF($H368="Quarterly (From April)",0,IF($H368="Termly",0,IF($H368="Monthly (excl. August)",$E368/11,""))))</f>
        <v/>
      </c>
      <c r="T368" s="302" t="str">
        <f t="shared" si="262"/>
        <v/>
      </c>
      <c r="U368" s="303">
        <f>E368</f>
        <v>0</v>
      </c>
      <c r="V368" s="214">
        <f>IF(ROUND(SUM(I368:T368),0)&gt;U368,1,IF(ROUND(SUM(I368:T368),0)&lt;U368,1,0))</f>
        <v>0</v>
      </c>
      <c r="W368" s="322">
        <f>ROUND(SUM(I368:T368)-U368,0)</f>
        <v>0</v>
      </c>
    </row>
    <row r="369" spans="1:23" x14ac:dyDescent="0.2">
      <c r="A369" s="1099"/>
      <c r="B369" s="157">
        <v>2014</v>
      </c>
      <c r="C369" s="108" t="s">
        <v>508</v>
      </c>
      <c r="D369" s="94"/>
      <c r="E369" s="248"/>
      <c r="F369" s="249"/>
      <c r="H369" s="43" t="s">
        <v>267</v>
      </c>
      <c r="I369" s="302" t="str">
        <f>IF($H369="Monthly",$E369/12,IF($H369="Quarterly (From April)",$E369/4,IF($H369="Termly",$E369/3,IF($H369="Monthly (excl. August)",$E369/11,""))))</f>
        <v/>
      </c>
      <c r="J369" s="302" t="str">
        <f t="shared" si="260"/>
        <v/>
      </c>
      <c r="K369" s="302" t="str">
        <f t="shared" si="260"/>
        <v/>
      </c>
      <c r="L369" s="302" t="str">
        <f>IF($H369="Monthly",$E369/12,IF($H369="Quarterly (From April)",$E369/4,IF($H369="Termly",0,IF($H369="Monthly (excl. August)",$E369/11,""))))</f>
        <v/>
      </c>
      <c r="M369" s="302" t="str">
        <f>IF($H369="Monthly",$E369/12,IF($H369="Quarterly (From April)",0,IF($H369="Termly",0,IF($H369="Monthly (excl. August)",0,""))))</f>
        <v/>
      </c>
      <c r="N369" s="302" t="str">
        <f>IF($H369="Monthly",$E369/12,IF($H369="Quarterly (From April)",0,IF($H369="Termly",$E369/3,IF($H369="Monthly (excl. August)",$E369/11,""))))</f>
        <v/>
      </c>
      <c r="O369" s="302" t="str">
        <f>IF($H369="Monthly",$E369/12,IF($H369="Quarterly (From April)",$E369/4,IF($H369="Termly",0,IF($H369="Monthly (excl. August)",$E369/11,""))))</f>
        <v/>
      </c>
      <c r="P369" s="302" t="str">
        <f t="shared" si="261"/>
        <v/>
      </c>
      <c r="Q369" s="302" t="str">
        <f t="shared" si="261"/>
        <v/>
      </c>
      <c r="R369" s="302" t="str">
        <f>IF($H369="Monthly",$E369/12,IF($H369="Quarterly (From April)",$E369/4,IF($H369="Termly",$E369/3,IF($H369="Monthly (excl. August)",$E369/11,""))))</f>
        <v/>
      </c>
      <c r="S369" s="302" t="str">
        <f t="shared" si="262"/>
        <v/>
      </c>
      <c r="T369" s="302" t="str">
        <f t="shared" si="262"/>
        <v/>
      </c>
      <c r="U369" s="303">
        <f>E369</f>
        <v>0</v>
      </c>
      <c r="V369" s="214">
        <f>IF(ROUND(SUM(I369:T369),0)&gt;U369,1,IF(ROUND(SUM(I369:T369),0)&lt;U369,1,0))</f>
        <v>0</v>
      </c>
      <c r="W369" s="322">
        <f>ROUND(SUM(I369:T369)-U369,0)</f>
        <v>0</v>
      </c>
    </row>
    <row r="370" spans="1:23" x14ac:dyDescent="0.2">
      <c r="A370" s="1099"/>
      <c r="B370" s="157">
        <v>4001</v>
      </c>
      <c r="C370" s="108" t="s">
        <v>509</v>
      </c>
      <c r="D370" s="417" t="s">
        <v>1095</v>
      </c>
      <c r="E370" s="250">
        <v>550</v>
      </c>
      <c r="F370" s="251"/>
      <c r="H370" s="43" t="s">
        <v>293</v>
      </c>
      <c r="I370" s="302">
        <f>IF($H370="Monthly",$E370/12,IF($H370="Quarterly (From April)",$E370/4,IF($H370="Termly",$E370/3,IF($H370="Monthly (excl. August)",$E370/11,""))))</f>
        <v>183.33333333333334</v>
      </c>
      <c r="J370" s="302">
        <f t="shared" si="260"/>
        <v>0</v>
      </c>
      <c r="K370" s="302">
        <f t="shared" si="260"/>
        <v>0</v>
      </c>
      <c r="L370" s="302">
        <f>IF($H370="Monthly",$E370/12,IF($H370="Quarterly (From April)",$E370/4,IF($H370="Termly",0,IF($H370="Monthly (excl. August)",$E370/11,""))))</f>
        <v>0</v>
      </c>
      <c r="M370" s="302">
        <f>IF($H370="Monthly",$E370/12,IF($H370="Quarterly (From April)",0,IF($H370="Termly",0,IF($H370="Monthly (excl. August)",0,""))))</f>
        <v>0</v>
      </c>
      <c r="N370" s="302">
        <f>IF($H370="Monthly",$E370/12,IF($H370="Quarterly (From April)",0,IF($H370="Termly",$E370/3,IF($H370="Monthly (excl. August)",$E370/11,""))))</f>
        <v>183.33333333333334</v>
      </c>
      <c r="O370" s="302">
        <f>IF($H370="Monthly",$E370/12,IF($H370="Quarterly (From April)",$E370/4,IF($H370="Termly",0,IF($H370="Monthly (excl. August)",$E370/11,""))))</f>
        <v>0</v>
      </c>
      <c r="P370" s="302">
        <f t="shared" si="261"/>
        <v>0</v>
      </c>
      <c r="Q370" s="302">
        <f t="shared" si="261"/>
        <v>0</v>
      </c>
      <c r="R370" s="302">
        <f>IF($H370="Monthly",$E370/12,IF($H370="Quarterly (From April)",$E370/4,IF($H370="Termly",$E370/3,IF($H370="Monthly (excl. August)",$E370/11,""))))</f>
        <v>183.33333333333334</v>
      </c>
      <c r="S370" s="302">
        <f t="shared" si="262"/>
        <v>0</v>
      </c>
      <c r="T370" s="302">
        <f t="shared" si="262"/>
        <v>0</v>
      </c>
      <c r="U370" s="303">
        <f>E370</f>
        <v>550</v>
      </c>
      <c r="V370" s="214">
        <f>IF(ROUND(SUM(I370:T370),0)&gt;U370,1,IF(ROUND(SUM(I370:T370),0)&lt;U370,1,0))</f>
        <v>0</v>
      </c>
      <c r="W370" s="322">
        <f>ROUND(SUM(I370:T370)-U370,0)</f>
        <v>0</v>
      </c>
    </row>
    <row r="371" spans="1:23" x14ac:dyDescent="0.2">
      <c r="A371" s="1099"/>
      <c r="B371" s="157">
        <v>4099</v>
      </c>
      <c r="C371" s="114" t="s">
        <v>514</v>
      </c>
      <c r="D371" s="417" t="s">
        <v>1096</v>
      </c>
      <c r="E371" s="250">
        <v>1875</v>
      </c>
      <c r="F371" s="251"/>
      <c r="H371" s="43" t="s">
        <v>292</v>
      </c>
      <c r="I371" s="302">
        <f>IF($H371="Monthly",$E371/12,IF($H371="Quarterly (From April)",$E371/4,IF($H371="Termly",$E371/3,IF($H371="Monthly (excl. August)",$E371/11,""))))</f>
        <v>468.75</v>
      </c>
      <c r="J371" s="302">
        <f t="shared" si="260"/>
        <v>0</v>
      </c>
      <c r="K371" s="302">
        <f t="shared" si="260"/>
        <v>0</v>
      </c>
      <c r="L371" s="302">
        <f>IF($H371="Monthly",$E371/12,IF($H371="Quarterly (From April)",$E371/4,IF($H371="Termly",0,IF($H371="Monthly (excl. August)",$E371/11,""))))</f>
        <v>468.75</v>
      </c>
      <c r="M371" s="302">
        <f>IF($H371="Monthly",$E371/12,IF($H371="Quarterly (From April)",0,IF($H371="Termly",0,IF($H371="Monthly (excl. August)",0,""))))</f>
        <v>0</v>
      </c>
      <c r="N371" s="302">
        <f>IF($H371="Monthly",$E371/12,IF($H371="Quarterly (From April)",0,IF($H371="Termly",$E371/3,IF($H371="Monthly (excl. August)",$E371/11,""))))</f>
        <v>0</v>
      </c>
      <c r="O371" s="302">
        <f>IF($H371="Monthly",$E371/12,IF($H371="Quarterly (From April)",$E371/4,IF($H371="Termly",0,IF($H371="Monthly (excl. August)",$E371/11,""))))</f>
        <v>468.75</v>
      </c>
      <c r="P371" s="302">
        <f t="shared" si="261"/>
        <v>0</v>
      </c>
      <c r="Q371" s="302">
        <f t="shared" si="261"/>
        <v>0</v>
      </c>
      <c r="R371" s="302">
        <f>IF($H371="Monthly",$E371/12,IF($H371="Quarterly (From April)",$E371/4,IF($H371="Termly",$E371/3,IF($H371="Monthly (excl. August)",$E371/11,""))))</f>
        <v>468.75</v>
      </c>
      <c r="S371" s="302">
        <f t="shared" si="262"/>
        <v>0</v>
      </c>
      <c r="T371" s="302">
        <f t="shared" si="262"/>
        <v>0</v>
      </c>
      <c r="U371" s="303">
        <f>E371</f>
        <v>1875</v>
      </c>
      <c r="V371" s="214">
        <f>IF(ROUND(SUM(I371:T371),0)&gt;U371,1,IF(ROUND(SUM(I371:T371),0)&lt;U371,1,0))</f>
        <v>0</v>
      </c>
      <c r="W371" s="322">
        <f>ROUND(SUM(I371:T371)-U371,0)</f>
        <v>0</v>
      </c>
    </row>
    <row r="372" spans="1:23" ht="13.5" thickBot="1" x14ac:dyDescent="0.25">
      <c r="A372" s="1100"/>
      <c r="B372" s="158"/>
      <c r="C372" s="109"/>
      <c r="D372" s="100"/>
      <c r="E372" s="256"/>
      <c r="F372" s="257">
        <f>SUM(E368:E372)</f>
        <v>2425</v>
      </c>
      <c r="H372" s="43" t="s">
        <v>267</v>
      </c>
      <c r="I372" s="302" t="str">
        <f>IF($H372="Monthly",$E372/12,IF($H372="Quarterly (From April)",$E372/4,IF($H372="Termly",$E372/3,IF($H372="Monthly (excl. August)",$E372/11,""))))</f>
        <v/>
      </c>
      <c r="J372" s="302" t="str">
        <f t="shared" si="260"/>
        <v/>
      </c>
      <c r="K372" s="302" t="str">
        <f t="shared" si="260"/>
        <v/>
      </c>
      <c r="L372" s="302" t="str">
        <f>IF($H372="Monthly",$E372/12,IF($H372="Quarterly (From April)",$E372/4,IF($H372="Termly",0,IF($H372="Monthly (excl. August)",$E372/11,""))))</f>
        <v/>
      </c>
      <c r="M372" s="302" t="str">
        <f>IF($H372="Monthly",$E372/12,IF($H372="Quarterly (From April)",0,IF($H372="Termly",0,IF($H372="Monthly (excl. August)",0,""))))</f>
        <v/>
      </c>
      <c r="N372" s="302" t="str">
        <f>IF($H372="Monthly",$E372/12,IF($H372="Quarterly (From April)",0,IF($H372="Termly",$E372/3,IF($H372="Monthly (excl. August)",$E372/11,""))))</f>
        <v/>
      </c>
      <c r="O372" s="302" t="str">
        <f>IF($H372="Monthly",$E372/12,IF($H372="Quarterly (From April)",$E372/4,IF($H372="Termly",0,IF($H372="Monthly (excl. August)",$E372/11,""))))</f>
        <v/>
      </c>
      <c r="P372" s="302" t="str">
        <f t="shared" si="261"/>
        <v/>
      </c>
      <c r="Q372" s="302" t="str">
        <f t="shared" si="261"/>
        <v/>
      </c>
      <c r="R372" s="302" t="str">
        <f>IF($H372="Monthly",$E372/12,IF($H372="Quarterly (From April)",$E372/4,IF($H372="Termly",$E372/3,IF($H372="Monthly (excl. August)",$E372/11,""))))</f>
        <v/>
      </c>
      <c r="S372" s="302" t="str">
        <f t="shared" si="262"/>
        <v/>
      </c>
      <c r="T372" s="302" t="str">
        <f t="shared" si="262"/>
        <v/>
      </c>
      <c r="U372" s="303">
        <f>E372</f>
        <v>0</v>
      </c>
      <c r="V372" s="214">
        <f>IF(ROUND(SUM(I372:T372),0)&gt;U372,1,IF(ROUND(SUM(I372:T372),0)&lt;U372,1,0))</f>
        <v>0</v>
      </c>
      <c r="W372" s="322">
        <f>ROUND(SUM(I372:T372)-U372,0)</f>
        <v>0</v>
      </c>
    </row>
    <row r="373" spans="1:23" ht="13.5" thickBot="1" x14ac:dyDescent="0.25">
      <c r="A373" s="41"/>
      <c r="B373" s="117"/>
      <c r="C373" s="101"/>
      <c r="D373" s="102"/>
      <c r="E373" s="259"/>
      <c r="F373" s="260"/>
      <c r="I373" s="306"/>
      <c r="J373" s="306"/>
      <c r="K373" s="306"/>
      <c r="L373" s="306"/>
      <c r="M373" s="306"/>
      <c r="N373" s="306"/>
      <c r="O373" s="306"/>
      <c r="P373" s="306"/>
      <c r="Q373" s="306"/>
      <c r="R373" s="306"/>
      <c r="S373" s="306"/>
      <c r="T373" s="306"/>
      <c r="U373" s="305"/>
      <c r="W373" s="322"/>
    </row>
    <row r="374" spans="1:23" ht="12.75" customHeight="1" x14ac:dyDescent="0.2">
      <c r="A374" s="1092" t="s">
        <v>1004</v>
      </c>
      <c r="B374" s="170"/>
      <c r="C374" s="113"/>
      <c r="D374" s="93"/>
      <c r="E374" s="246"/>
      <c r="F374" s="247"/>
      <c r="H374" s="43" t="s">
        <v>267</v>
      </c>
      <c r="I374" s="302" t="str">
        <f>IF($H374="Monthly",$E374/12,IF($H374="Quarterly (From April)",$E374/4,IF($H374="Termly",$E374/3,IF($H374="Monthly (excl. August)",$E374/11,""))))</f>
        <v/>
      </c>
      <c r="J374" s="302" t="str">
        <f t="shared" ref="J374:K377" si="263">IF($H374="Monthly",$E374/12,IF($H374="Quarterly (From April)",0,IF($H374="Termly",0,IF($H374="Monthly (excl. August)",$E374/11,""))))</f>
        <v/>
      </c>
      <c r="K374" s="302" t="str">
        <f t="shared" si="263"/>
        <v/>
      </c>
      <c r="L374" s="302" t="str">
        <f>IF($H374="Monthly",$E374/12,IF($H374="Quarterly (From April)",$E374/4,IF($H374="Termly",0,IF($H374="Monthly (excl. August)",$E374/11,""))))</f>
        <v/>
      </c>
      <c r="M374" s="302" t="str">
        <f>IF($H374="Monthly",$E374/12,IF($H374="Quarterly (From April)",0,IF($H374="Termly",0,IF($H374="Monthly (excl. August)",0,""))))</f>
        <v/>
      </c>
      <c r="N374" s="302" t="str">
        <f>IF($H374="Monthly",$E374/12,IF($H374="Quarterly (From April)",0,IF($H374="Termly",$E374/3,IF($H374="Monthly (excl. August)",$E374/11,""))))</f>
        <v/>
      </c>
      <c r="O374" s="302" t="str">
        <f>IF($H374="Monthly",$E374/12,IF($H374="Quarterly (From April)",$E374/4,IF($H374="Termly",0,IF($H374="Monthly (excl. August)",$E374/11,""))))</f>
        <v/>
      </c>
      <c r="P374" s="302" t="str">
        <f t="shared" ref="P374:Q377" si="264">IF($H374="Monthly",$E374/12,IF($H374="Quarterly (From April)",0,IF($H374="Termly",0,IF($H374="Monthly (excl. August)",$E374/11,""))))</f>
        <v/>
      </c>
      <c r="Q374" s="302" t="str">
        <f t="shared" si="264"/>
        <v/>
      </c>
      <c r="R374" s="302" t="str">
        <f>IF($H374="Monthly",$E374/12,IF($H374="Quarterly (From April)",$E374/4,IF($H374="Termly",$E374/3,IF($H374="Monthly (excl. August)",$E374/11,""))))</f>
        <v/>
      </c>
      <c r="S374" s="302" t="str">
        <f t="shared" ref="S374:T377" si="265">IF($H374="Monthly",$E374/12,IF($H374="Quarterly (From April)",0,IF($H374="Termly",0,IF($H374="Monthly (excl. August)",$E374/11,""))))</f>
        <v/>
      </c>
      <c r="T374" s="302" t="str">
        <f t="shared" si="265"/>
        <v/>
      </c>
      <c r="U374" s="303">
        <f>E374</f>
        <v>0</v>
      </c>
      <c r="V374" s="214">
        <f>IF(ROUND(SUM(I374:T374),0)&gt;U374,1,IF(ROUND(SUM(I374:T374),0)&lt;U374,1,0))</f>
        <v>0</v>
      </c>
      <c r="W374" s="322">
        <f>ROUND(SUM(I374:T374)-U374,0)</f>
        <v>0</v>
      </c>
    </row>
    <row r="375" spans="1:23" x14ac:dyDescent="0.2">
      <c r="A375" s="1093"/>
      <c r="B375" s="160"/>
      <c r="C375" s="108"/>
      <c r="D375" s="95"/>
      <c r="E375" s="250"/>
      <c r="F375" s="251"/>
      <c r="H375" s="43" t="s">
        <v>267</v>
      </c>
      <c r="I375" s="302" t="str">
        <f>IF($H375="Monthly",$E375/12,IF($H375="Quarterly (From April)",$E375/4,IF($H375="Termly",$E375/3,IF($H375="Monthly (excl. August)",$E375/11,""))))</f>
        <v/>
      </c>
      <c r="J375" s="302" t="str">
        <f t="shared" si="263"/>
        <v/>
      </c>
      <c r="K375" s="302" t="str">
        <f t="shared" si="263"/>
        <v/>
      </c>
      <c r="L375" s="302" t="str">
        <f>IF($H375="Monthly",$E375/12,IF($H375="Quarterly (From April)",$E375/4,IF($H375="Termly",0,IF($H375="Monthly (excl. August)",$E375/11,""))))</f>
        <v/>
      </c>
      <c r="M375" s="302" t="str">
        <f>IF($H375="Monthly",$E375/12,IF($H375="Quarterly (From April)",0,IF($H375="Termly",0,IF($H375="Monthly (excl. August)",0,""))))</f>
        <v/>
      </c>
      <c r="N375" s="302" t="str">
        <f>IF($H375="Monthly",$E375/12,IF($H375="Quarterly (From April)",0,IF($H375="Termly",$E375/3,IF($H375="Monthly (excl. August)",$E375/11,""))))</f>
        <v/>
      </c>
      <c r="O375" s="302" t="str">
        <f>IF($H375="Monthly",$E375/12,IF($H375="Quarterly (From April)",$E375/4,IF($H375="Termly",0,IF($H375="Monthly (excl. August)",$E375/11,""))))</f>
        <v/>
      </c>
      <c r="P375" s="302" t="str">
        <f t="shared" si="264"/>
        <v/>
      </c>
      <c r="Q375" s="302" t="str">
        <f t="shared" si="264"/>
        <v/>
      </c>
      <c r="R375" s="302" t="str">
        <f>IF($H375="Monthly",$E375/12,IF($H375="Quarterly (From April)",$E375/4,IF($H375="Termly",$E375/3,IF($H375="Monthly (excl. August)",$E375/11,""))))</f>
        <v/>
      </c>
      <c r="S375" s="302" t="str">
        <f t="shared" si="265"/>
        <v/>
      </c>
      <c r="T375" s="302" t="str">
        <f t="shared" si="265"/>
        <v/>
      </c>
      <c r="U375" s="303">
        <f>E375</f>
        <v>0</v>
      </c>
      <c r="V375" s="214">
        <f>IF(ROUND(SUM(I375:T375),0)&gt;U375,1,IF(ROUND(SUM(I375:T375),0)&lt;U375,1,0))</f>
        <v>0</v>
      </c>
      <c r="W375" s="322">
        <f>ROUND(SUM(I375:T375)-U375,0)</f>
        <v>0</v>
      </c>
    </row>
    <row r="376" spans="1:23" x14ac:dyDescent="0.2">
      <c r="A376" s="1093"/>
      <c r="B376" s="160"/>
      <c r="C376" s="108"/>
      <c r="D376" s="95"/>
      <c r="E376" s="250"/>
      <c r="F376" s="251"/>
      <c r="H376" s="43" t="s">
        <v>267</v>
      </c>
      <c r="I376" s="302" t="str">
        <f>IF($H376="Monthly",$E376/12,IF($H376="Quarterly (From April)",$E376/4,IF($H376="Termly",$E376/3,IF($H376="Monthly (excl. August)",$E376/11,""))))</f>
        <v/>
      </c>
      <c r="J376" s="302" t="str">
        <f t="shared" si="263"/>
        <v/>
      </c>
      <c r="K376" s="302" t="str">
        <f t="shared" si="263"/>
        <v/>
      </c>
      <c r="L376" s="302" t="str">
        <f>IF($H376="Monthly",$E376/12,IF($H376="Quarterly (From April)",$E376/4,IF($H376="Termly",0,IF($H376="Monthly (excl. August)",$E376/11,""))))</f>
        <v/>
      </c>
      <c r="M376" s="302" t="str">
        <f>IF($H376="Monthly",$E376/12,IF($H376="Quarterly (From April)",0,IF($H376="Termly",0,IF($H376="Monthly (excl. August)",0,""))))</f>
        <v/>
      </c>
      <c r="N376" s="302" t="str">
        <f>IF($H376="Monthly",$E376/12,IF($H376="Quarterly (From April)",0,IF($H376="Termly",$E376/3,IF($H376="Monthly (excl. August)",$E376/11,""))))</f>
        <v/>
      </c>
      <c r="O376" s="302" t="str">
        <f>IF($H376="Monthly",$E376/12,IF($H376="Quarterly (From April)",$E376/4,IF($H376="Termly",0,IF($H376="Monthly (excl. August)",$E376/11,""))))</f>
        <v/>
      </c>
      <c r="P376" s="302" t="str">
        <f t="shared" si="264"/>
        <v/>
      </c>
      <c r="Q376" s="302" t="str">
        <f t="shared" si="264"/>
        <v/>
      </c>
      <c r="R376" s="302" t="str">
        <f>IF($H376="Monthly",$E376/12,IF($H376="Quarterly (From April)",$E376/4,IF($H376="Termly",$E376/3,IF($H376="Monthly (excl. August)",$E376/11,""))))</f>
        <v/>
      </c>
      <c r="S376" s="302" t="str">
        <f t="shared" si="265"/>
        <v/>
      </c>
      <c r="T376" s="302" t="str">
        <f t="shared" si="265"/>
        <v/>
      </c>
      <c r="U376" s="303">
        <f>E376</f>
        <v>0</v>
      </c>
      <c r="V376" s="214">
        <f>IF(ROUND(SUM(I376:T376),0)&gt;U376,1,IF(ROUND(SUM(I376:T376),0)&lt;U376,1,0))</f>
        <v>0</v>
      </c>
      <c r="W376" s="322">
        <f>ROUND(SUM(I376:T376)-U376,0)</f>
        <v>0</v>
      </c>
    </row>
    <row r="377" spans="1:23" ht="13.5" thickBot="1" x14ac:dyDescent="0.25">
      <c r="A377" s="1094"/>
      <c r="B377" s="161"/>
      <c r="C377" s="109"/>
      <c r="D377" s="100"/>
      <c r="E377" s="256"/>
      <c r="F377" s="257">
        <f>SUM(E374:E377)</f>
        <v>0</v>
      </c>
      <c r="H377" s="43" t="s">
        <v>267</v>
      </c>
      <c r="I377" s="302" t="str">
        <f>IF($H377="Monthly",$E377/12,IF($H377="Quarterly (From April)",$E377/4,IF($H377="Termly",$E377/3,IF($H377="Monthly (excl. August)",$E377/11,""))))</f>
        <v/>
      </c>
      <c r="J377" s="302" t="str">
        <f t="shared" si="263"/>
        <v/>
      </c>
      <c r="K377" s="302" t="str">
        <f t="shared" si="263"/>
        <v/>
      </c>
      <c r="L377" s="302" t="str">
        <f>IF($H377="Monthly",$E377/12,IF($H377="Quarterly (From April)",$E377/4,IF($H377="Termly",0,IF($H377="Monthly (excl. August)",$E377/11,""))))</f>
        <v/>
      </c>
      <c r="M377" s="302" t="str">
        <f>IF($H377="Monthly",$E377/12,IF($H377="Quarterly (From April)",0,IF($H377="Termly",0,IF($H377="Monthly (excl. August)",0,""))))</f>
        <v/>
      </c>
      <c r="N377" s="302" t="str">
        <f>IF($H377="Monthly",$E377/12,IF($H377="Quarterly (From April)",0,IF($H377="Termly",$E377/3,IF($H377="Monthly (excl. August)",$E377/11,""))))</f>
        <v/>
      </c>
      <c r="O377" s="302" t="str">
        <f>IF($H377="Monthly",$E377/12,IF($H377="Quarterly (From April)",$E377/4,IF($H377="Termly",0,IF($H377="Monthly (excl. August)",$E377/11,""))))</f>
        <v/>
      </c>
      <c r="P377" s="302" t="str">
        <f t="shared" si="264"/>
        <v/>
      </c>
      <c r="Q377" s="302" t="str">
        <f t="shared" si="264"/>
        <v/>
      </c>
      <c r="R377" s="302" t="str">
        <f>IF($H377="Monthly",$E377/12,IF($H377="Quarterly (From April)",$E377/4,IF($H377="Termly",$E377/3,IF($H377="Monthly (excl. August)",$E377/11,""))))</f>
        <v/>
      </c>
      <c r="S377" s="302" t="str">
        <f t="shared" si="265"/>
        <v/>
      </c>
      <c r="T377" s="302" t="str">
        <f t="shared" si="265"/>
        <v/>
      </c>
      <c r="U377" s="303">
        <f>E377</f>
        <v>0</v>
      </c>
      <c r="V377" s="214">
        <f>IF(ROUND(SUM(I377:T377),0)&gt;U377,1,IF(ROUND(SUM(I377:T377),0)&lt;U377,1,0))</f>
        <v>0</v>
      </c>
      <c r="W377" s="322">
        <f>ROUND(SUM(I377:T377)-U377,0)</f>
        <v>0</v>
      </c>
    </row>
    <row r="378" spans="1:23" ht="13.5" thickBot="1" x14ac:dyDescent="0.25">
      <c r="A378" s="45"/>
      <c r="B378" s="119"/>
      <c r="C378" s="111"/>
      <c r="D378" s="107"/>
      <c r="E378" s="267"/>
      <c r="F378" s="270"/>
      <c r="I378" s="306"/>
      <c r="J378" s="306"/>
      <c r="K378" s="306"/>
      <c r="L378" s="306"/>
      <c r="M378" s="306"/>
      <c r="N378" s="306"/>
      <c r="O378" s="306"/>
      <c r="P378" s="306"/>
      <c r="Q378" s="306"/>
      <c r="R378" s="306"/>
      <c r="S378" s="306"/>
      <c r="T378" s="306"/>
      <c r="U378" s="305"/>
      <c r="W378" s="322"/>
    </row>
    <row r="379" spans="1:23" ht="12.75" customHeight="1" x14ac:dyDescent="0.2">
      <c r="A379" s="1092" t="s">
        <v>1004</v>
      </c>
      <c r="B379" s="170"/>
      <c r="C379" s="113"/>
      <c r="D379" s="93"/>
      <c r="E379" s="246"/>
      <c r="F379" s="247"/>
      <c r="H379" s="43" t="s">
        <v>267</v>
      </c>
      <c r="I379" s="302" t="str">
        <f>IF($H379="Monthly",$E379/12,IF($H379="Quarterly (From April)",$E379/4,IF($H379="Termly",$E379/3,IF($H379="Monthly (excl. August)",$E379/11,""))))</f>
        <v/>
      </c>
      <c r="J379" s="302" t="str">
        <f t="shared" ref="J379:K382" si="266">IF($H379="Monthly",$E379/12,IF($H379="Quarterly (From April)",0,IF($H379="Termly",0,IF($H379="Monthly (excl. August)",$E379/11,""))))</f>
        <v/>
      </c>
      <c r="K379" s="302" t="str">
        <f t="shared" si="266"/>
        <v/>
      </c>
      <c r="L379" s="302" t="str">
        <f>IF($H379="Monthly",$E379/12,IF($H379="Quarterly (From April)",$E379/4,IF($H379="Termly",0,IF($H379="Monthly (excl. August)",$E379/11,""))))</f>
        <v/>
      </c>
      <c r="M379" s="302" t="str">
        <f>IF($H379="Monthly",$E379/12,IF($H379="Quarterly (From April)",0,IF($H379="Termly",0,IF($H379="Monthly (excl. August)",0,""))))</f>
        <v/>
      </c>
      <c r="N379" s="302" t="str">
        <f>IF($H379="Monthly",$E379/12,IF($H379="Quarterly (From April)",0,IF($H379="Termly",$E379/3,IF($H379="Monthly (excl. August)",$E379/11,""))))</f>
        <v/>
      </c>
      <c r="O379" s="302" t="str">
        <f>IF($H379="Monthly",$E379/12,IF($H379="Quarterly (From April)",$E379/4,IF($H379="Termly",0,IF($H379="Monthly (excl. August)",$E379/11,""))))</f>
        <v/>
      </c>
      <c r="P379" s="302" t="str">
        <f t="shared" ref="P379:Q382" si="267">IF($H379="Monthly",$E379/12,IF($H379="Quarterly (From April)",0,IF($H379="Termly",0,IF($H379="Monthly (excl. August)",$E379/11,""))))</f>
        <v/>
      </c>
      <c r="Q379" s="302" t="str">
        <f t="shared" si="267"/>
        <v/>
      </c>
      <c r="R379" s="302" t="str">
        <f>IF($H379="Monthly",$E379/12,IF($H379="Quarterly (From April)",$E379/4,IF($H379="Termly",$E379/3,IF($H379="Monthly (excl. August)",$E379/11,""))))</f>
        <v/>
      </c>
      <c r="S379" s="302" t="str">
        <f t="shared" ref="S379:T382" si="268">IF($H379="Monthly",$E379/12,IF($H379="Quarterly (From April)",0,IF($H379="Termly",0,IF($H379="Monthly (excl. August)",$E379/11,""))))</f>
        <v/>
      </c>
      <c r="T379" s="302" t="str">
        <f t="shared" si="268"/>
        <v/>
      </c>
      <c r="U379" s="303">
        <f>E379</f>
        <v>0</v>
      </c>
      <c r="V379" s="214">
        <f>IF(ROUND(SUM(I379:T379),0)&gt;U379,1,IF(ROUND(SUM(I379:T379),0)&lt;U379,1,0))</f>
        <v>0</v>
      </c>
      <c r="W379" s="322">
        <f>ROUND(SUM(I379:T379)-U379,0)</f>
        <v>0</v>
      </c>
    </row>
    <row r="380" spans="1:23" x14ac:dyDescent="0.2">
      <c r="A380" s="1093"/>
      <c r="B380" s="160"/>
      <c r="C380" s="108"/>
      <c r="D380" s="95"/>
      <c r="E380" s="250"/>
      <c r="F380" s="251"/>
      <c r="H380" s="43" t="s">
        <v>267</v>
      </c>
      <c r="I380" s="302" t="str">
        <f>IF($H380="Monthly",$E380/12,IF($H380="Quarterly (From April)",$E380/4,IF($H380="Termly",$E380/3,IF($H380="Monthly (excl. August)",$E380/11,""))))</f>
        <v/>
      </c>
      <c r="J380" s="302" t="str">
        <f t="shared" si="266"/>
        <v/>
      </c>
      <c r="K380" s="302" t="str">
        <f t="shared" si="266"/>
        <v/>
      </c>
      <c r="L380" s="302" t="str">
        <f>IF($H380="Monthly",$E380/12,IF($H380="Quarterly (From April)",$E380/4,IF($H380="Termly",0,IF($H380="Monthly (excl. August)",$E380/11,""))))</f>
        <v/>
      </c>
      <c r="M380" s="302" t="str">
        <f>IF($H380="Monthly",$E380/12,IF($H380="Quarterly (From April)",0,IF($H380="Termly",0,IF($H380="Monthly (excl. August)",0,""))))</f>
        <v/>
      </c>
      <c r="N380" s="302" t="str">
        <f>IF($H380="Monthly",$E380/12,IF($H380="Quarterly (From April)",0,IF($H380="Termly",$E380/3,IF($H380="Monthly (excl. August)",$E380/11,""))))</f>
        <v/>
      </c>
      <c r="O380" s="302" t="str">
        <f>IF($H380="Monthly",$E380/12,IF($H380="Quarterly (From April)",$E380/4,IF($H380="Termly",0,IF($H380="Monthly (excl. August)",$E380/11,""))))</f>
        <v/>
      </c>
      <c r="P380" s="302" t="str">
        <f t="shared" si="267"/>
        <v/>
      </c>
      <c r="Q380" s="302" t="str">
        <f t="shared" si="267"/>
        <v/>
      </c>
      <c r="R380" s="302" t="str">
        <f>IF($H380="Monthly",$E380/12,IF($H380="Quarterly (From April)",$E380/4,IF($H380="Termly",$E380/3,IF($H380="Monthly (excl. August)",$E380/11,""))))</f>
        <v/>
      </c>
      <c r="S380" s="302" t="str">
        <f t="shared" si="268"/>
        <v/>
      </c>
      <c r="T380" s="302" t="str">
        <f t="shared" si="268"/>
        <v/>
      </c>
      <c r="U380" s="303">
        <f>E380</f>
        <v>0</v>
      </c>
      <c r="V380" s="214">
        <f>IF(ROUND(SUM(I380:T380),0)&gt;U380,1,IF(ROUND(SUM(I380:T380),0)&lt;U380,1,0))</f>
        <v>0</v>
      </c>
      <c r="W380" s="322">
        <f>ROUND(SUM(I380:T380)-U380,0)</f>
        <v>0</v>
      </c>
    </row>
    <row r="381" spans="1:23" x14ac:dyDescent="0.2">
      <c r="A381" s="1093"/>
      <c r="B381" s="160"/>
      <c r="C381" s="108"/>
      <c r="D381" s="95"/>
      <c r="E381" s="250"/>
      <c r="F381" s="251"/>
      <c r="H381" s="43" t="s">
        <v>267</v>
      </c>
      <c r="I381" s="302" t="str">
        <f>IF($H381="Monthly",$E381/12,IF($H381="Quarterly (From April)",$E381/4,IF($H381="Termly",$E381/3,IF($H381="Monthly (excl. August)",$E381/11,""))))</f>
        <v/>
      </c>
      <c r="J381" s="302" t="str">
        <f t="shared" si="266"/>
        <v/>
      </c>
      <c r="K381" s="302" t="str">
        <f t="shared" si="266"/>
        <v/>
      </c>
      <c r="L381" s="302" t="str">
        <f>IF($H381="Monthly",$E381/12,IF($H381="Quarterly (From April)",$E381/4,IF($H381="Termly",0,IF($H381="Monthly (excl. August)",$E381/11,""))))</f>
        <v/>
      </c>
      <c r="M381" s="302" t="str">
        <f>IF($H381="Monthly",$E381/12,IF($H381="Quarterly (From April)",0,IF($H381="Termly",0,IF($H381="Monthly (excl. August)",0,""))))</f>
        <v/>
      </c>
      <c r="N381" s="302" t="str">
        <f>IF($H381="Monthly",$E381/12,IF($H381="Quarterly (From April)",0,IF($H381="Termly",$E381/3,IF($H381="Monthly (excl. August)",$E381/11,""))))</f>
        <v/>
      </c>
      <c r="O381" s="302" t="str">
        <f>IF($H381="Monthly",$E381/12,IF($H381="Quarterly (From April)",$E381/4,IF($H381="Termly",0,IF($H381="Monthly (excl. August)",$E381/11,""))))</f>
        <v/>
      </c>
      <c r="P381" s="302" t="str">
        <f t="shared" si="267"/>
        <v/>
      </c>
      <c r="Q381" s="302" t="str">
        <f t="shared" si="267"/>
        <v/>
      </c>
      <c r="R381" s="302" t="str">
        <f>IF($H381="Monthly",$E381/12,IF($H381="Quarterly (From April)",$E381/4,IF($H381="Termly",$E381/3,IF($H381="Monthly (excl. August)",$E381/11,""))))</f>
        <v/>
      </c>
      <c r="S381" s="302" t="str">
        <f t="shared" si="268"/>
        <v/>
      </c>
      <c r="T381" s="302" t="str">
        <f t="shared" si="268"/>
        <v/>
      </c>
      <c r="U381" s="303">
        <f>E381</f>
        <v>0</v>
      </c>
      <c r="V381" s="214">
        <f>IF(ROUND(SUM(I381:T381),0)&gt;U381,1,IF(ROUND(SUM(I381:T381),0)&lt;U381,1,0))</f>
        <v>0</v>
      </c>
      <c r="W381" s="322">
        <f>ROUND(SUM(I381:T381)-U381,0)</f>
        <v>0</v>
      </c>
    </row>
    <row r="382" spans="1:23" ht="13.5" thickBot="1" x14ac:dyDescent="0.25">
      <c r="A382" s="1094"/>
      <c r="B382" s="161"/>
      <c r="C382" s="109"/>
      <c r="D382" s="100"/>
      <c r="E382" s="256"/>
      <c r="F382" s="257">
        <f>SUM(E379:E382)</f>
        <v>0</v>
      </c>
      <c r="H382" s="43" t="s">
        <v>267</v>
      </c>
      <c r="I382" s="302" t="str">
        <f>IF($H382="Monthly",$E382/12,IF($H382="Quarterly (From April)",$E382/4,IF($H382="Termly",$E382/3,IF($H382="Monthly (excl. August)",$E382/11,""))))</f>
        <v/>
      </c>
      <c r="J382" s="302" t="str">
        <f t="shared" si="266"/>
        <v/>
      </c>
      <c r="K382" s="302" t="str">
        <f t="shared" si="266"/>
        <v/>
      </c>
      <c r="L382" s="302" t="str">
        <f>IF($H382="Monthly",$E382/12,IF($H382="Quarterly (From April)",$E382/4,IF($H382="Termly",0,IF($H382="Monthly (excl. August)",$E382/11,""))))</f>
        <v/>
      </c>
      <c r="M382" s="302" t="str">
        <f>IF($H382="Monthly",$E382/12,IF($H382="Quarterly (From April)",0,IF($H382="Termly",0,IF($H382="Monthly (excl. August)",0,""))))</f>
        <v/>
      </c>
      <c r="N382" s="302" t="str">
        <f>IF($H382="Monthly",$E382/12,IF($H382="Quarterly (From April)",0,IF($H382="Termly",$E382/3,IF($H382="Monthly (excl. August)",$E382/11,""))))</f>
        <v/>
      </c>
      <c r="O382" s="302" t="str">
        <f>IF($H382="Monthly",$E382/12,IF($H382="Quarterly (From April)",$E382/4,IF($H382="Termly",0,IF($H382="Monthly (excl. August)",$E382/11,""))))</f>
        <v/>
      </c>
      <c r="P382" s="302" t="str">
        <f t="shared" si="267"/>
        <v/>
      </c>
      <c r="Q382" s="302" t="str">
        <f t="shared" si="267"/>
        <v/>
      </c>
      <c r="R382" s="302" t="str">
        <f>IF($H382="Monthly",$E382/12,IF($H382="Quarterly (From April)",$E382/4,IF($H382="Termly",$E382/3,IF($H382="Monthly (excl. August)",$E382/11,""))))</f>
        <v/>
      </c>
      <c r="S382" s="302" t="str">
        <f t="shared" si="268"/>
        <v/>
      </c>
      <c r="T382" s="302" t="str">
        <f t="shared" si="268"/>
        <v/>
      </c>
      <c r="U382" s="303">
        <f>E382</f>
        <v>0</v>
      </c>
      <c r="V382" s="214">
        <f>IF(ROUND(SUM(I382:T382),0)&gt;U382,1,IF(ROUND(SUM(I382:T382),0)&lt;U382,1,0))</f>
        <v>0</v>
      </c>
      <c r="W382" s="322">
        <f>ROUND(SUM(I382:T382)-U382,0)</f>
        <v>0</v>
      </c>
    </row>
    <row r="383" spans="1:23" ht="13.5" thickBot="1" x14ac:dyDescent="0.25">
      <c r="A383" s="45"/>
      <c r="B383" s="119"/>
      <c r="C383" s="111"/>
      <c r="D383" s="107"/>
      <c r="E383" s="267"/>
      <c r="F383" s="270"/>
      <c r="I383" s="306"/>
      <c r="J383" s="306"/>
      <c r="K383" s="306"/>
      <c r="L383" s="306"/>
      <c r="M383" s="306"/>
      <c r="N383" s="306"/>
      <c r="O383" s="306"/>
      <c r="P383" s="306"/>
      <c r="Q383" s="306"/>
      <c r="R383" s="306"/>
      <c r="S383" s="306"/>
      <c r="T383" s="306"/>
      <c r="U383" s="305"/>
      <c r="W383" s="322"/>
    </row>
    <row r="384" spans="1:23" ht="12.75" customHeight="1" x14ac:dyDescent="0.2">
      <c r="A384" s="1092" t="s">
        <v>1004</v>
      </c>
      <c r="B384" s="170"/>
      <c r="C384" s="113"/>
      <c r="D384" s="93"/>
      <c r="E384" s="246"/>
      <c r="F384" s="247"/>
      <c r="H384" s="43" t="s">
        <v>267</v>
      </c>
      <c r="I384" s="302" t="str">
        <f>IF($H384="Monthly",$E384/12,IF($H384="Quarterly (From April)",$E384/4,IF($H384="Termly",$E384/3,IF($H384="Monthly (excl. August)",$E384/11,""))))</f>
        <v/>
      </c>
      <c r="J384" s="302" t="str">
        <f t="shared" ref="J384:K387" si="269">IF($H384="Monthly",$E384/12,IF($H384="Quarterly (From April)",0,IF($H384="Termly",0,IF($H384="Monthly (excl. August)",$E384/11,""))))</f>
        <v/>
      </c>
      <c r="K384" s="302" t="str">
        <f t="shared" si="269"/>
        <v/>
      </c>
      <c r="L384" s="302" t="str">
        <f>IF($H384="Monthly",$E384/12,IF($H384="Quarterly (From April)",$E384/4,IF($H384="Termly",0,IF($H384="Monthly (excl. August)",$E384/11,""))))</f>
        <v/>
      </c>
      <c r="M384" s="302" t="str">
        <f>IF($H384="Monthly",$E384/12,IF($H384="Quarterly (From April)",0,IF($H384="Termly",0,IF($H384="Monthly (excl. August)",0,""))))</f>
        <v/>
      </c>
      <c r="N384" s="302" t="str">
        <f>IF($H384="Monthly",$E384/12,IF($H384="Quarterly (From April)",0,IF($H384="Termly",$E384/3,IF($H384="Monthly (excl. August)",$E384/11,""))))</f>
        <v/>
      </c>
      <c r="O384" s="302" t="str">
        <f>IF($H384="Monthly",$E384/12,IF($H384="Quarterly (From April)",$E384/4,IF($H384="Termly",0,IF($H384="Monthly (excl. August)",$E384/11,""))))</f>
        <v/>
      </c>
      <c r="P384" s="302" t="str">
        <f t="shared" ref="P384:Q387" si="270">IF($H384="Monthly",$E384/12,IF($H384="Quarterly (From April)",0,IF($H384="Termly",0,IF($H384="Monthly (excl. August)",$E384/11,""))))</f>
        <v/>
      </c>
      <c r="Q384" s="302" t="str">
        <f t="shared" si="270"/>
        <v/>
      </c>
      <c r="R384" s="302" t="str">
        <f>IF($H384="Monthly",$E384/12,IF($H384="Quarterly (From April)",$E384/4,IF($H384="Termly",$E384/3,IF($H384="Monthly (excl. August)",$E384/11,""))))</f>
        <v/>
      </c>
      <c r="S384" s="302" t="str">
        <f t="shared" ref="S384:T387" si="271">IF($H384="Monthly",$E384/12,IF($H384="Quarterly (From April)",0,IF($H384="Termly",0,IF($H384="Monthly (excl. August)",$E384/11,""))))</f>
        <v/>
      </c>
      <c r="T384" s="302" t="str">
        <f t="shared" si="271"/>
        <v/>
      </c>
      <c r="U384" s="303">
        <f>E384</f>
        <v>0</v>
      </c>
      <c r="V384" s="214">
        <f>IF(ROUND(SUM(I384:T384),0)&gt;U384,1,IF(ROUND(SUM(I384:T384),0)&lt;U384,1,0))</f>
        <v>0</v>
      </c>
      <c r="W384" s="322">
        <f>ROUND(SUM(I384:T384)-U384,0)</f>
        <v>0</v>
      </c>
    </row>
    <row r="385" spans="1:23" x14ac:dyDescent="0.2">
      <c r="A385" s="1093"/>
      <c r="B385" s="160"/>
      <c r="C385" s="108"/>
      <c r="D385" s="95"/>
      <c r="E385" s="250"/>
      <c r="F385" s="251"/>
      <c r="H385" s="43" t="s">
        <v>267</v>
      </c>
      <c r="I385" s="302" t="str">
        <f>IF($H385="Monthly",$E385/12,IF($H385="Quarterly (From April)",$E385/4,IF($H385="Termly",$E385/3,IF($H385="Monthly (excl. August)",$E385/11,""))))</f>
        <v/>
      </c>
      <c r="J385" s="302" t="str">
        <f t="shared" si="269"/>
        <v/>
      </c>
      <c r="K385" s="302" t="str">
        <f t="shared" si="269"/>
        <v/>
      </c>
      <c r="L385" s="302" t="str">
        <f>IF($H385="Monthly",$E385/12,IF($H385="Quarterly (From April)",$E385/4,IF($H385="Termly",0,IF($H385="Monthly (excl. August)",$E385/11,""))))</f>
        <v/>
      </c>
      <c r="M385" s="302" t="str">
        <f>IF($H385="Monthly",$E385/12,IF($H385="Quarterly (From April)",0,IF($H385="Termly",0,IF($H385="Monthly (excl. August)",0,""))))</f>
        <v/>
      </c>
      <c r="N385" s="302" t="str">
        <f>IF($H385="Monthly",$E385/12,IF($H385="Quarterly (From April)",0,IF($H385="Termly",$E385/3,IF($H385="Monthly (excl. August)",$E385/11,""))))</f>
        <v/>
      </c>
      <c r="O385" s="302" t="str">
        <f>IF($H385="Monthly",$E385/12,IF($H385="Quarterly (From April)",$E385/4,IF($H385="Termly",0,IF($H385="Monthly (excl. August)",$E385/11,""))))</f>
        <v/>
      </c>
      <c r="P385" s="302" t="str">
        <f t="shared" si="270"/>
        <v/>
      </c>
      <c r="Q385" s="302" t="str">
        <f t="shared" si="270"/>
        <v/>
      </c>
      <c r="R385" s="302" t="str">
        <f>IF($H385="Monthly",$E385/12,IF($H385="Quarterly (From April)",$E385/4,IF($H385="Termly",$E385/3,IF($H385="Monthly (excl. August)",$E385/11,""))))</f>
        <v/>
      </c>
      <c r="S385" s="302" t="str">
        <f t="shared" si="271"/>
        <v/>
      </c>
      <c r="T385" s="302" t="str">
        <f t="shared" si="271"/>
        <v/>
      </c>
      <c r="U385" s="303">
        <f>E385</f>
        <v>0</v>
      </c>
      <c r="V385" s="214">
        <f>IF(ROUND(SUM(I385:T385),0)&gt;U385,1,IF(ROUND(SUM(I385:T385),0)&lt;U385,1,0))</f>
        <v>0</v>
      </c>
      <c r="W385" s="322">
        <f>ROUND(SUM(I385:T385)-U385,0)</f>
        <v>0</v>
      </c>
    </row>
    <row r="386" spans="1:23" x14ac:dyDescent="0.2">
      <c r="A386" s="1093"/>
      <c r="B386" s="160"/>
      <c r="C386" s="108"/>
      <c r="D386" s="95"/>
      <c r="E386" s="250"/>
      <c r="F386" s="251"/>
      <c r="H386" s="43" t="s">
        <v>267</v>
      </c>
      <c r="I386" s="302" t="str">
        <f>IF($H386="Monthly",$E386/12,IF($H386="Quarterly (From April)",$E386/4,IF($H386="Termly",$E386/3,IF($H386="Monthly (excl. August)",$E386/11,""))))</f>
        <v/>
      </c>
      <c r="J386" s="302" t="str">
        <f t="shared" si="269"/>
        <v/>
      </c>
      <c r="K386" s="302" t="str">
        <f t="shared" si="269"/>
        <v/>
      </c>
      <c r="L386" s="302" t="str">
        <f>IF($H386="Monthly",$E386/12,IF($H386="Quarterly (From April)",$E386/4,IF($H386="Termly",0,IF($H386="Monthly (excl. August)",$E386/11,""))))</f>
        <v/>
      </c>
      <c r="M386" s="302" t="str">
        <f>IF($H386="Monthly",$E386/12,IF($H386="Quarterly (From April)",0,IF($H386="Termly",0,IF($H386="Monthly (excl. August)",0,""))))</f>
        <v/>
      </c>
      <c r="N386" s="302" t="str">
        <f>IF($H386="Monthly",$E386/12,IF($H386="Quarterly (From April)",0,IF($H386="Termly",$E386/3,IF($H386="Monthly (excl. August)",$E386/11,""))))</f>
        <v/>
      </c>
      <c r="O386" s="302" t="str">
        <f>IF($H386="Monthly",$E386/12,IF($H386="Quarterly (From April)",$E386/4,IF($H386="Termly",0,IF($H386="Monthly (excl. August)",$E386/11,""))))</f>
        <v/>
      </c>
      <c r="P386" s="302" t="str">
        <f t="shared" si="270"/>
        <v/>
      </c>
      <c r="Q386" s="302" t="str">
        <f t="shared" si="270"/>
        <v/>
      </c>
      <c r="R386" s="302" t="str">
        <f>IF($H386="Monthly",$E386/12,IF($H386="Quarterly (From April)",$E386/4,IF($H386="Termly",$E386/3,IF($H386="Monthly (excl. August)",$E386/11,""))))</f>
        <v/>
      </c>
      <c r="S386" s="302" t="str">
        <f t="shared" si="271"/>
        <v/>
      </c>
      <c r="T386" s="302" t="str">
        <f t="shared" si="271"/>
        <v/>
      </c>
      <c r="U386" s="303">
        <f>E386</f>
        <v>0</v>
      </c>
      <c r="V386" s="214">
        <f>IF(ROUND(SUM(I386:T386),0)&gt;U386,1,IF(ROUND(SUM(I386:T386),0)&lt;U386,1,0))</f>
        <v>0</v>
      </c>
      <c r="W386" s="322">
        <f>ROUND(SUM(I386:T386)-U386,0)</f>
        <v>0</v>
      </c>
    </row>
    <row r="387" spans="1:23" ht="13.5" thickBot="1" x14ac:dyDescent="0.25">
      <c r="A387" s="1094"/>
      <c r="B387" s="161"/>
      <c r="C387" s="109"/>
      <c r="D387" s="100"/>
      <c r="E387" s="256"/>
      <c r="F387" s="257">
        <f>SUM(E384:E387)</f>
        <v>0</v>
      </c>
      <c r="H387" s="43" t="s">
        <v>267</v>
      </c>
      <c r="I387" s="302" t="str">
        <f>IF($H387="Monthly",$E387/12,IF($H387="Quarterly (From April)",$E387/4,IF($H387="Termly",$E387/3,IF($H387="Monthly (excl. August)",$E387/11,""))))</f>
        <v/>
      </c>
      <c r="J387" s="302" t="str">
        <f t="shared" si="269"/>
        <v/>
      </c>
      <c r="K387" s="302" t="str">
        <f t="shared" si="269"/>
        <v/>
      </c>
      <c r="L387" s="302" t="str">
        <f>IF($H387="Monthly",$E387/12,IF($H387="Quarterly (From April)",$E387/4,IF($H387="Termly",0,IF($H387="Monthly (excl. August)",$E387/11,""))))</f>
        <v/>
      </c>
      <c r="M387" s="302" t="str">
        <f>IF($H387="Monthly",$E387/12,IF($H387="Quarterly (From April)",0,IF($H387="Termly",0,IF($H387="Monthly (excl. August)",0,""))))</f>
        <v/>
      </c>
      <c r="N387" s="302" t="str">
        <f>IF($H387="Monthly",$E387/12,IF($H387="Quarterly (From April)",0,IF($H387="Termly",$E387/3,IF($H387="Monthly (excl. August)",$E387/11,""))))</f>
        <v/>
      </c>
      <c r="O387" s="302" t="str">
        <f>IF($H387="Monthly",$E387/12,IF($H387="Quarterly (From April)",$E387/4,IF($H387="Termly",0,IF($H387="Monthly (excl. August)",$E387/11,""))))</f>
        <v/>
      </c>
      <c r="P387" s="302" t="str">
        <f t="shared" si="270"/>
        <v/>
      </c>
      <c r="Q387" s="302" t="str">
        <f t="shared" si="270"/>
        <v/>
      </c>
      <c r="R387" s="302" t="str">
        <f>IF($H387="Monthly",$E387/12,IF($H387="Quarterly (From April)",$E387/4,IF($H387="Termly",$E387/3,IF($H387="Monthly (excl. August)",$E387/11,""))))</f>
        <v/>
      </c>
      <c r="S387" s="302" t="str">
        <f t="shared" si="271"/>
        <v/>
      </c>
      <c r="T387" s="302" t="str">
        <f t="shared" si="271"/>
        <v/>
      </c>
      <c r="U387" s="303">
        <f>E387</f>
        <v>0</v>
      </c>
      <c r="V387" s="214">
        <f>IF(ROUND(SUM(I387:T387),0)&gt;U387,1,IF(ROUND(SUM(I387:T387),0)&lt;U387,1,0))</f>
        <v>0</v>
      </c>
      <c r="W387" s="322">
        <f>ROUND(SUM(I387:T387)-U387,0)</f>
        <v>0</v>
      </c>
    </row>
    <row r="388" spans="1:23" ht="13.5" thickBot="1" x14ac:dyDescent="0.25">
      <c r="A388" s="41"/>
      <c r="B388" s="117"/>
      <c r="C388" s="101"/>
      <c r="D388" s="102"/>
      <c r="E388" s="259"/>
      <c r="F388" s="260"/>
      <c r="I388" s="306"/>
      <c r="J388" s="306"/>
      <c r="K388" s="306"/>
      <c r="L388" s="306"/>
      <c r="M388" s="306"/>
      <c r="N388" s="306"/>
      <c r="O388" s="306"/>
      <c r="P388" s="306"/>
      <c r="Q388" s="306"/>
      <c r="R388" s="306"/>
      <c r="S388" s="306"/>
      <c r="T388" s="306"/>
      <c r="U388" s="305"/>
      <c r="W388" s="322"/>
    </row>
    <row r="389" spans="1:23" ht="12.75" customHeight="1" x14ac:dyDescent="0.2">
      <c r="A389" s="1092" t="s">
        <v>1004</v>
      </c>
      <c r="B389" s="170"/>
      <c r="C389" s="113"/>
      <c r="D389" s="93"/>
      <c r="E389" s="246"/>
      <c r="F389" s="247"/>
      <c r="H389" s="43" t="s">
        <v>267</v>
      </c>
      <c r="I389" s="302" t="str">
        <f>IF($H389="Monthly",$E389/12,IF($H389="Quarterly (From April)",$E389/4,IF($H389="Termly",$E389/3,IF($H389="Monthly (excl. August)",$E389/11,""))))</f>
        <v/>
      </c>
      <c r="J389" s="302" t="str">
        <f t="shared" ref="J389:K392" si="272">IF($H389="Monthly",$E389/12,IF($H389="Quarterly (From April)",0,IF($H389="Termly",0,IF($H389="Monthly (excl. August)",$E389/11,""))))</f>
        <v/>
      </c>
      <c r="K389" s="302" t="str">
        <f t="shared" si="272"/>
        <v/>
      </c>
      <c r="L389" s="302" t="str">
        <f>IF($H389="Monthly",$E389/12,IF($H389="Quarterly (From April)",$E389/4,IF($H389="Termly",0,IF($H389="Monthly (excl. August)",$E389/11,""))))</f>
        <v/>
      </c>
      <c r="M389" s="302" t="str">
        <f>IF($H389="Monthly",$E389/12,IF($H389="Quarterly (From April)",0,IF($H389="Termly",0,IF($H389="Monthly (excl. August)",0,""))))</f>
        <v/>
      </c>
      <c r="N389" s="302" t="str">
        <f>IF($H389="Monthly",$E389/12,IF($H389="Quarterly (From April)",0,IF($H389="Termly",$E389/3,IF($H389="Monthly (excl. August)",$E389/11,""))))</f>
        <v/>
      </c>
      <c r="O389" s="302" t="str">
        <f>IF($H389="Monthly",$E389/12,IF($H389="Quarterly (From April)",$E389/4,IF($H389="Termly",0,IF($H389="Monthly (excl. August)",$E389/11,""))))</f>
        <v/>
      </c>
      <c r="P389" s="302" t="str">
        <f t="shared" ref="P389:Q392" si="273">IF($H389="Monthly",$E389/12,IF($H389="Quarterly (From April)",0,IF($H389="Termly",0,IF($H389="Monthly (excl. August)",$E389/11,""))))</f>
        <v/>
      </c>
      <c r="Q389" s="302" t="str">
        <f t="shared" si="273"/>
        <v/>
      </c>
      <c r="R389" s="302" t="str">
        <f>IF($H389="Monthly",$E389/12,IF($H389="Quarterly (From April)",$E389/4,IF($H389="Termly",$E389/3,IF($H389="Monthly (excl. August)",$E389/11,""))))</f>
        <v/>
      </c>
      <c r="S389" s="302" t="str">
        <f t="shared" ref="S389:T392" si="274">IF($H389="Monthly",$E389/12,IF($H389="Quarterly (From April)",0,IF($H389="Termly",0,IF($H389="Monthly (excl. August)",$E389/11,""))))</f>
        <v/>
      </c>
      <c r="T389" s="302" t="str">
        <f t="shared" si="274"/>
        <v/>
      </c>
      <c r="U389" s="303">
        <f>E389</f>
        <v>0</v>
      </c>
      <c r="V389" s="214">
        <f>IF(ROUND(SUM(I389:T389),0)&gt;U389,1,IF(ROUND(SUM(I389:T389),0)&lt;U389,1,0))</f>
        <v>0</v>
      </c>
      <c r="W389" s="322">
        <f>ROUND(SUM(I389:T389)-U389,0)</f>
        <v>0</v>
      </c>
    </row>
    <row r="390" spans="1:23" x14ac:dyDescent="0.2">
      <c r="A390" s="1093"/>
      <c r="B390" s="160"/>
      <c r="C390" s="108"/>
      <c r="D390" s="95"/>
      <c r="E390" s="250"/>
      <c r="F390" s="251"/>
      <c r="H390" s="43" t="s">
        <v>267</v>
      </c>
      <c r="I390" s="302" t="str">
        <f>IF($H390="Monthly",$E390/12,IF($H390="Quarterly (From April)",$E390/4,IF($H390="Termly",$E390/3,IF($H390="Monthly (excl. August)",$E390/11,""))))</f>
        <v/>
      </c>
      <c r="J390" s="302" t="str">
        <f t="shared" si="272"/>
        <v/>
      </c>
      <c r="K390" s="302" t="str">
        <f t="shared" si="272"/>
        <v/>
      </c>
      <c r="L390" s="302" t="str">
        <f>IF($H390="Monthly",$E390/12,IF($H390="Quarterly (From April)",$E390/4,IF($H390="Termly",0,IF($H390="Monthly (excl. August)",$E390/11,""))))</f>
        <v/>
      </c>
      <c r="M390" s="302" t="str">
        <f>IF($H390="Monthly",$E390/12,IF($H390="Quarterly (From April)",0,IF($H390="Termly",0,IF($H390="Monthly (excl. August)",0,""))))</f>
        <v/>
      </c>
      <c r="N390" s="302" t="str">
        <f>IF($H390="Monthly",$E390/12,IF($H390="Quarterly (From April)",0,IF($H390="Termly",$E390/3,IF($H390="Monthly (excl. August)",$E390/11,""))))</f>
        <v/>
      </c>
      <c r="O390" s="302" t="str">
        <f>IF($H390="Monthly",$E390/12,IF($H390="Quarterly (From April)",$E390/4,IF($H390="Termly",0,IF($H390="Monthly (excl. August)",$E390/11,""))))</f>
        <v/>
      </c>
      <c r="P390" s="302" t="str">
        <f t="shared" si="273"/>
        <v/>
      </c>
      <c r="Q390" s="302" t="str">
        <f t="shared" si="273"/>
        <v/>
      </c>
      <c r="R390" s="302" t="str">
        <f>IF($H390="Monthly",$E390/12,IF($H390="Quarterly (From April)",$E390/4,IF($H390="Termly",$E390/3,IF($H390="Monthly (excl. August)",$E390/11,""))))</f>
        <v/>
      </c>
      <c r="S390" s="302" t="str">
        <f t="shared" si="274"/>
        <v/>
      </c>
      <c r="T390" s="302" t="str">
        <f t="shared" si="274"/>
        <v/>
      </c>
      <c r="U390" s="303">
        <f>E390</f>
        <v>0</v>
      </c>
      <c r="V390" s="214">
        <f>IF(ROUND(SUM(I390:T390),0)&gt;U390,1,IF(ROUND(SUM(I390:T390),0)&lt;U390,1,0))</f>
        <v>0</v>
      </c>
      <c r="W390" s="322">
        <f>ROUND(SUM(I390:T390)-U390,0)</f>
        <v>0</v>
      </c>
    </row>
    <row r="391" spans="1:23" x14ac:dyDescent="0.2">
      <c r="A391" s="1093"/>
      <c r="B391" s="160"/>
      <c r="C391" s="108"/>
      <c r="D391" s="95"/>
      <c r="E391" s="250"/>
      <c r="F391" s="251"/>
      <c r="H391" s="43" t="s">
        <v>267</v>
      </c>
      <c r="I391" s="302" t="str">
        <f>IF($H391="Monthly",$E391/12,IF($H391="Quarterly (From April)",$E391/4,IF($H391="Termly",$E391/3,IF($H391="Monthly (excl. August)",$E391/11,""))))</f>
        <v/>
      </c>
      <c r="J391" s="302" t="str">
        <f t="shared" si="272"/>
        <v/>
      </c>
      <c r="K391" s="302" t="str">
        <f t="shared" si="272"/>
        <v/>
      </c>
      <c r="L391" s="302" t="str">
        <f>IF($H391="Monthly",$E391/12,IF($H391="Quarterly (From April)",$E391/4,IF($H391="Termly",0,IF($H391="Monthly (excl. August)",$E391/11,""))))</f>
        <v/>
      </c>
      <c r="M391" s="302" t="str">
        <f>IF($H391="Monthly",$E391/12,IF($H391="Quarterly (From April)",0,IF($H391="Termly",0,IF($H391="Monthly (excl. August)",0,""))))</f>
        <v/>
      </c>
      <c r="N391" s="302" t="str">
        <f>IF($H391="Monthly",$E391/12,IF($H391="Quarterly (From April)",0,IF($H391="Termly",$E391/3,IF($H391="Monthly (excl. August)",$E391/11,""))))</f>
        <v/>
      </c>
      <c r="O391" s="302" t="str">
        <f>IF($H391="Monthly",$E391/12,IF($H391="Quarterly (From April)",$E391/4,IF($H391="Termly",0,IF($H391="Monthly (excl. August)",$E391/11,""))))</f>
        <v/>
      </c>
      <c r="P391" s="302" t="str">
        <f t="shared" si="273"/>
        <v/>
      </c>
      <c r="Q391" s="302" t="str">
        <f t="shared" si="273"/>
        <v/>
      </c>
      <c r="R391" s="302" t="str">
        <f>IF($H391="Monthly",$E391/12,IF($H391="Quarterly (From April)",$E391/4,IF($H391="Termly",$E391/3,IF($H391="Monthly (excl. August)",$E391/11,""))))</f>
        <v/>
      </c>
      <c r="S391" s="302" t="str">
        <f t="shared" si="274"/>
        <v/>
      </c>
      <c r="T391" s="302" t="str">
        <f t="shared" si="274"/>
        <v/>
      </c>
      <c r="U391" s="303">
        <f>E391</f>
        <v>0</v>
      </c>
      <c r="V391" s="214">
        <f>IF(ROUND(SUM(I391:T391),0)&gt;U391,1,IF(ROUND(SUM(I391:T391),0)&lt;U391,1,0))</f>
        <v>0</v>
      </c>
      <c r="W391" s="322">
        <f>ROUND(SUM(I391:T391)-U391,0)</f>
        <v>0</v>
      </c>
    </row>
    <row r="392" spans="1:23" ht="13.5" thickBot="1" x14ac:dyDescent="0.25">
      <c r="A392" s="1094"/>
      <c r="B392" s="161"/>
      <c r="C392" s="109"/>
      <c r="D392" s="100"/>
      <c r="E392" s="256"/>
      <c r="F392" s="257">
        <f>SUM(E389:E392)</f>
        <v>0</v>
      </c>
      <c r="H392" s="43" t="s">
        <v>267</v>
      </c>
      <c r="I392" s="302" t="str">
        <f>IF($H392="Monthly",$E392/12,IF($H392="Quarterly (From April)",$E392/4,IF($H392="Termly",$E392/3,IF($H392="Monthly (excl. August)",$E392/11,""))))</f>
        <v/>
      </c>
      <c r="J392" s="302" t="str">
        <f t="shared" si="272"/>
        <v/>
      </c>
      <c r="K392" s="302" t="str">
        <f t="shared" si="272"/>
        <v/>
      </c>
      <c r="L392" s="302" t="str">
        <f>IF($H392="Monthly",$E392/12,IF($H392="Quarterly (From April)",$E392/4,IF($H392="Termly",0,IF($H392="Monthly (excl. August)",$E392/11,""))))</f>
        <v/>
      </c>
      <c r="M392" s="302" t="str">
        <f>IF($H392="Monthly",$E392/12,IF($H392="Quarterly (From April)",0,IF($H392="Termly",0,IF($H392="Monthly (excl. August)",0,""))))</f>
        <v/>
      </c>
      <c r="N392" s="302" t="str">
        <f>IF($H392="Monthly",$E392/12,IF($H392="Quarterly (From April)",0,IF($H392="Termly",$E392/3,IF($H392="Monthly (excl. August)",$E392/11,""))))</f>
        <v/>
      </c>
      <c r="O392" s="302" t="str">
        <f>IF($H392="Monthly",$E392/12,IF($H392="Quarterly (From April)",$E392/4,IF($H392="Termly",0,IF($H392="Monthly (excl. August)",$E392/11,""))))</f>
        <v/>
      </c>
      <c r="P392" s="302" t="str">
        <f t="shared" si="273"/>
        <v/>
      </c>
      <c r="Q392" s="302" t="str">
        <f t="shared" si="273"/>
        <v/>
      </c>
      <c r="R392" s="302" t="str">
        <f>IF($H392="Monthly",$E392/12,IF($H392="Quarterly (From April)",$E392/4,IF($H392="Termly",$E392/3,IF($H392="Monthly (excl. August)",$E392/11,""))))</f>
        <v/>
      </c>
      <c r="S392" s="302" t="str">
        <f t="shared" si="274"/>
        <v/>
      </c>
      <c r="T392" s="302" t="str">
        <f t="shared" si="274"/>
        <v/>
      </c>
      <c r="U392" s="303">
        <f>E392</f>
        <v>0</v>
      </c>
      <c r="V392" s="214">
        <f>IF(ROUND(SUM(I392:T392),0)&gt;U392,1,IF(ROUND(SUM(I392:T392),0)&lt;U392,1,0))</f>
        <v>0</v>
      </c>
      <c r="W392" s="322">
        <f>ROUND(SUM(I392:T392)-U392,0)</f>
        <v>0</v>
      </c>
    </row>
    <row r="393" spans="1:23" ht="13.5" thickBot="1" x14ac:dyDescent="0.25">
      <c r="A393" s="45"/>
      <c r="B393" s="119"/>
      <c r="C393" s="111"/>
      <c r="D393" s="107"/>
      <c r="E393" s="267"/>
      <c r="F393" s="270"/>
      <c r="I393" s="306"/>
      <c r="J393" s="306"/>
      <c r="K393" s="306"/>
      <c r="L393" s="306"/>
      <c r="M393" s="306"/>
      <c r="N393" s="306"/>
      <c r="O393" s="306"/>
      <c r="P393" s="306"/>
      <c r="Q393" s="306"/>
      <c r="R393" s="306"/>
      <c r="S393" s="306"/>
      <c r="T393" s="306"/>
      <c r="U393" s="305"/>
      <c r="W393" s="322"/>
    </row>
    <row r="394" spans="1:23" ht="12.75" customHeight="1" x14ac:dyDescent="0.2">
      <c r="A394" s="1092" t="s">
        <v>1004</v>
      </c>
      <c r="B394" s="170"/>
      <c r="C394" s="113"/>
      <c r="D394" s="93"/>
      <c r="E394" s="246"/>
      <c r="F394" s="247"/>
      <c r="H394" s="43" t="s">
        <v>267</v>
      </c>
      <c r="I394" s="302" t="str">
        <f>IF($H394="Monthly",$E394/12,IF($H394="Quarterly (From April)",$E394/4,IF($H394="Termly",$E394/3,IF($H394="Monthly (excl. August)",$E394/11,""))))</f>
        <v/>
      </c>
      <c r="J394" s="302" t="str">
        <f t="shared" ref="J394:K397" si="275">IF($H394="Monthly",$E394/12,IF($H394="Quarterly (From April)",0,IF($H394="Termly",0,IF($H394="Monthly (excl. August)",$E394/11,""))))</f>
        <v/>
      </c>
      <c r="K394" s="302" t="str">
        <f t="shared" si="275"/>
        <v/>
      </c>
      <c r="L394" s="302" t="str">
        <f>IF($H394="Monthly",$E394/12,IF($H394="Quarterly (From April)",$E394/4,IF($H394="Termly",0,IF($H394="Monthly (excl. August)",$E394/11,""))))</f>
        <v/>
      </c>
      <c r="M394" s="302" t="str">
        <f>IF($H394="Monthly",$E394/12,IF($H394="Quarterly (From April)",0,IF($H394="Termly",0,IF($H394="Monthly (excl. August)",0,""))))</f>
        <v/>
      </c>
      <c r="N394" s="302" t="str">
        <f>IF($H394="Monthly",$E394/12,IF($H394="Quarterly (From April)",0,IF($H394="Termly",$E394/3,IF($H394="Monthly (excl. August)",$E394/11,""))))</f>
        <v/>
      </c>
      <c r="O394" s="302" t="str">
        <f>IF($H394="Monthly",$E394/12,IF($H394="Quarterly (From April)",$E394/4,IF($H394="Termly",0,IF($H394="Monthly (excl. August)",$E394/11,""))))</f>
        <v/>
      </c>
      <c r="P394" s="302" t="str">
        <f t="shared" ref="P394:Q397" si="276">IF($H394="Monthly",$E394/12,IF($H394="Quarterly (From April)",0,IF($H394="Termly",0,IF($H394="Monthly (excl. August)",$E394/11,""))))</f>
        <v/>
      </c>
      <c r="Q394" s="302" t="str">
        <f t="shared" si="276"/>
        <v/>
      </c>
      <c r="R394" s="302" t="str">
        <f>IF($H394="Monthly",$E394/12,IF($H394="Quarterly (From April)",$E394/4,IF($H394="Termly",$E394/3,IF($H394="Monthly (excl. August)",$E394/11,""))))</f>
        <v/>
      </c>
      <c r="S394" s="302" t="str">
        <f t="shared" ref="S394:T397" si="277">IF($H394="Monthly",$E394/12,IF($H394="Quarterly (From April)",0,IF($H394="Termly",0,IF($H394="Monthly (excl. August)",$E394/11,""))))</f>
        <v/>
      </c>
      <c r="T394" s="302" t="str">
        <f t="shared" si="277"/>
        <v/>
      </c>
      <c r="U394" s="303">
        <f>E394</f>
        <v>0</v>
      </c>
      <c r="V394" s="214">
        <f>IF(ROUND(SUM(I394:T394),0)&gt;U394,1,IF(ROUND(SUM(I394:T394),0)&lt;U394,1,0))</f>
        <v>0</v>
      </c>
      <c r="W394" s="322">
        <f>ROUND(SUM(I394:T394)-U394,0)</f>
        <v>0</v>
      </c>
    </row>
    <row r="395" spans="1:23" x14ac:dyDescent="0.2">
      <c r="A395" s="1093"/>
      <c r="B395" s="160"/>
      <c r="C395" s="108"/>
      <c r="D395" s="95"/>
      <c r="E395" s="250"/>
      <c r="F395" s="251"/>
      <c r="H395" s="43" t="s">
        <v>267</v>
      </c>
      <c r="I395" s="302" t="str">
        <f>IF($H395="Monthly",$E395/12,IF($H395="Quarterly (From April)",$E395/4,IF($H395="Termly",$E395/3,IF($H395="Monthly (excl. August)",$E395/11,""))))</f>
        <v/>
      </c>
      <c r="J395" s="302" t="str">
        <f t="shared" si="275"/>
        <v/>
      </c>
      <c r="K395" s="302" t="str">
        <f t="shared" si="275"/>
        <v/>
      </c>
      <c r="L395" s="302" t="str">
        <f>IF($H395="Monthly",$E395/12,IF($H395="Quarterly (From April)",$E395/4,IF($H395="Termly",0,IF($H395="Monthly (excl. August)",$E395/11,""))))</f>
        <v/>
      </c>
      <c r="M395" s="302" t="str">
        <f>IF($H395="Monthly",$E395/12,IF($H395="Quarterly (From April)",0,IF($H395="Termly",0,IF($H395="Monthly (excl. August)",0,""))))</f>
        <v/>
      </c>
      <c r="N395" s="302" t="str">
        <f>IF($H395="Monthly",$E395/12,IF($H395="Quarterly (From April)",0,IF($H395="Termly",$E395/3,IF($H395="Monthly (excl. August)",$E395/11,""))))</f>
        <v/>
      </c>
      <c r="O395" s="302" t="str">
        <f>IF($H395="Monthly",$E395/12,IF($H395="Quarterly (From April)",$E395/4,IF($H395="Termly",0,IF($H395="Monthly (excl. August)",$E395/11,""))))</f>
        <v/>
      </c>
      <c r="P395" s="302" t="str">
        <f t="shared" si="276"/>
        <v/>
      </c>
      <c r="Q395" s="302" t="str">
        <f t="shared" si="276"/>
        <v/>
      </c>
      <c r="R395" s="302" t="str">
        <f>IF($H395="Monthly",$E395/12,IF($H395="Quarterly (From April)",$E395/4,IF($H395="Termly",$E395/3,IF($H395="Monthly (excl. August)",$E395/11,""))))</f>
        <v/>
      </c>
      <c r="S395" s="302" t="str">
        <f t="shared" si="277"/>
        <v/>
      </c>
      <c r="T395" s="302" t="str">
        <f t="shared" si="277"/>
        <v/>
      </c>
      <c r="U395" s="303">
        <f>E395</f>
        <v>0</v>
      </c>
      <c r="V395" s="214">
        <f>IF(ROUND(SUM(I395:T395),0)&gt;U395,1,IF(ROUND(SUM(I395:T395),0)&lt;U395,1,0))</f>
        <v>0</v>
      </c>
      <c r="W395" s="322">
        <f>ROUND(SUM(I395:T395)-U395,0)</f>
        <v>0</v>
      </c>
    </row>
    <row r="396" spans="1:23" x14ac:dyDescent="0.2">
      <c r="A396" s="1093"/>
      <c r="B396" s="160"/>
      <c r="C396" s="108"/>
      <c r="D396" s="95"/>
      <c r="E396" s="250"/>
      <c r="F396" s="251"/>
      <c r="H396" s="43" t="s">
        <v>267</v>
      </c>
      <c r="I396" s="302" t="str">
        <f>IF($H396="Monthly",$E396/12,IF($H396="Quarterly (From April)",$E396/4,IF($H396="Termly",$E396/3,IF($H396="Monthly (excl. August)",$E396/11,""))))</f>
        <v/>
      </c>
      <c r="J396" s="302" t="str">
        <f t="shared" si="275"/>
        <v/>
      </c>
      <c r="K396" s="302" t="str">
        <f t="shared" si="275"/>
        <v/>
      </c>
      <c r="L396" s="302" t="str">
        <f>IF($H396="Monthly",$E396/12,IF($H396="Quarterly (From April)",$E396/4,IF($H396="Termly",0,IF($H396="Monthly (excl. August)",$E396/11,""))))</f>
        <v/>
      </c>
      <c r="M396" s="302" t="str">
        <f>IF($H396="Monthly",$E396/12,IF($H396="Quarterly (From April)",0,IF($H396="Termly",0,IF($H396="Monthly (excl. August)",0,""))))</f>
        <v/>
      </c>
      <c r="N396" s="302" t="str">
        <f>IF($H396="Monthly",$E396/12,IF($H396="Quarterly (From April)",0,IF($H396="Termly",$E396/3,IF($H396="Monthly (excl. August)",$E396/11,""))))</f>
        <v/>
      </c>
      <c r="O396" s="302" t="str">
        <f>IF($H396="Monthly",$E396/12,IF($H396="Quarterly (From April)",$E396/4,IF($H396="Termly",0,IF($H396="Monthly (excl. August)",$E396/11,""))))</f>
        <v/>
      </c>
      <c r="P396" s="302" t="str">
        <f t="shared" si="276"/>
        <v/>
      </c>
      <c r="Q396" s="302" t="str">
        <f t="shared" si="276"/>
        <v/>
      </c>
      <c r="R396" s="302" t="str">
        <f>IF($H396="Monthly",$E396/12,IF($H396="Quarterly (From April)",$E396/4,IF($H396="Termly",$E396/3,IF($H396="Monthly (excl. August)",$E396/11,""))))</f>
        <v/>
      </c>
      <c r="S396" s="302" t="str">
        <f t="shared" si="277"/>
        <v/>
      </c>
      <c r="T396" s="302" t="str">
        <f t="shared" si="277"/>
        <v/>
      </c>
      <c r="U396" s="303">
        <f>E396</f>
        <v>0</v>
      </c>
      <c r="V396" s="214">
        <f>IF(ROUND(SUM(I396:T396),0)&gt;U396,1,IF(ROUND(SUM(I396:T396),0)&lt;U396,1,0))</f>
        <v>0</v>
      </c>
      <c r="W396" s="322">
        <f>ROUND(SUM(I396:T396)-U396,0)</f>
        <v>0</v>
      </c>
    </row>
    <row r="397" spans="1:23" ht="13.5" thickBot="1" x14ac:dyDescent="0.25">
      <c r="A397" s="1094"/>
      <c r="B397" s="161"/>
      <c r="C397" s="109"/>
      <c r="D397" s="100"/>
      <c r="E397" s="256"/>
      <c r="F397" s="257">
        <f>SUM(E394:E397)</f>
        <v>0</v>
      </c>
      <c r="H397" s="43" t="s">
        <v>267</v>
      </c>
      <c r="I397" s="302" t="str">
        <f>IF($H397="Monthly",$E397/12,IF($H397="Quarterly (From April)",$E397/4,IF($H397="Termly",$E397/3,IF($H397="Monthly (excl. August)",$E397/11,""))))</f>
        <v/>
      </c>
      <c r="J397" s="302" t="str">
        <f t="shared" si="275"/>
        <v/>
      </c>
      <c r="K397" s="302" t="str">
        <f t="shared" si="275"/>
        <v/>
      </c>
      <c r="L397" s="302" t="str">
        <f>IF($H397="Monthly",$E397/12,IF($H397="Quarterly (From April)",$E397/4,IF($H397="Termly",0,IF($H397="Monthly (excl. August)",$E397/11,""))))</f>
        <v/>
      </c>
      <c r="M397" s="302" t="str">
        <f>IF($H397="Monthly",$E397/12,IF($H397="Quarterly (From April)",0,IF($H397="Termly",0,IF($H397="Monthly (excl. August)",0,""))))</f>
        <v/>
      </c>
      <c r="N397" s="302" t="str">
        <f>IF($H397="Monthly",$E397/12,IF($H397="Quarterly (From April)",0,IF($H397="Termly",$E397/3,IF($H397="Monthly (excl. August)",$E397/11,""))))</f>
        <v/>
      </c>
      <c r="O397" s="302" t="str">
        <f>IF($H397="Monthly",$E397/12,IF($H397="Quarterly (From April)",$E397/4,IF($H397="Termly",0,IF($H397="Monthly (excl. August)",$E397/11,""))))</f>
        <v/>
      </c>
      <c r="P397" s="302" t="str">
        <f t="shared" si="276"/>
        <v/>
      </c>
      <c r="Q397" s="302" t="str">
        <f t="shared" si="276"/>
        <v/>
      </c>
      <c r="R397" s="302" t="str">
        <f>IF($H397="Monthly",$E397/12,IF($H397="Quarterly (From April)",$E397/4,IF($H397="Termly",$E397/3,IF($H397="Monthly (excl. August)",$E397/11,""))))</f>
        <v/>
      </c>
      <c r="S397" s="302" t="str">
        <f t="shared" si="277"/>
        <v/>
      </c>
      <c r="T397" s="302" t="str">
        <f t="shared" si="277"/>
        <v/>
      </c>
      <c r="U397" s="303">
        <f>E397</f>
        <v>0</v>
      </c>
      <c r="V397" s="214">
        <f>IF(ROUND(SUM(I397:T397),0)&gt;U397,1,IF(ROUND(SUM(I397:T397),0)&lt;U397,1,0))</f>
        <v>0</v>
      </c>
      <c r="W397" s="322">
        <f>ROUND(SUM(I397:T397)-U397,0)</f>
        <v>0</v>
      </c>
    </row>
    <row r="398" spans="1:23" ht="13.5" thickBot="1" x14ac:dyDescent="0.25">
      <c r="A398" s="45"/>
      <c r="B398" s="119"/>
      <c r="C398" s="111"/>
      <c r="D398" s="107"/>
      <c r="E398" s="267"/>
      <c r="F398" s="270"/>
      <c r="I398" s="306"/>
      <c r="J398" s="306"/>
      <c r="K398" s="306"/>
      <c r="L398" s="306"/>
      <c r="M398" s="306"/>
      <c r="N398" s="306"/>
      <c r="O398" s="306"/>
      <c r="P398" s="306"/>
      <c r="Q398" s="306"/>
      <c r="R398" s="306"/>
      <c r="S398" s="306"/>
      <c r="T398" s="306"/>
      <c r="U398" s="305"/>
      <c r="W398" s="322"/>
    </row>
    <row r="399" spans="1:23" ht="12.75" customHeight="1" x14ac:dyDescent="0.2">
      <c r="A399" s="1092" t="s">
        <v>1004</v>
      </c>
      <c r="B399" s="170"/>
      <c r="C399" s="113"/>
      <c r="D399" s="93"/>
      <c r="E399" s="246"/>
      <c r="F399" s="247"/>
      <c r="H399" s="43" t="s">
        <v>267</v>
      </c>
      <c r="I399" s="302" t="str">
        <f>IF($H399="Monthly",$E399/12,IF($H399="Quarterly (From April)",$E399/4,IF($H399="Termly",$E399/3,IF($H399="Monthly (excl. August)",$E399/11,""))))</f>
        <v/>
      </c>
      <c r="J399" s="302" t="str">
        <f t="shared" ref="J399:K402" si="278">IF($H399="Monthly",$E399/12,IF($H399="Quarterly (From April)",0,IF($H399="Termly",0,IF($H399="Monthly (excl. August)",$E399/11,""))))</f>
        <v/>
      </c>
      <c r="K399" s="302" t="str">
        <f t="shared" si="278"/>
        <v/>
      </c>
      <c r="L399" s="302" t="str">
        <f>IF($H399="Monthly",$E399/12,IF($H399="Quarterly (From April)",$E399/4,IF($H399="Termly",0,IF($H399="Monthly (excl. August)",$E399/11,""))))</f>
        <v/>
      </c>
      <c r="M399" s="302" t="str">
        <f>IF($H399="Monthly",$E399/12,IF($H399="Quarterly (From April)",0,IF($H399="Termly",0,IF($H399="Monthly (excl. August)",0,""))))</f>
        <v/>
      </c>
      <c r="N399" s="302" t="str">
        <f>IF($H399="Monthly",$E399/12,IF($H399="Quarterly (From April)",0,IF($H399="Termly",$E399/3,IF($H399="Monthly (excl. August)",$E399/11,""))))</f>
        <v/>
      </c>
      <c r="O399" s="302" t="str">
        <f>IF($H399="Monthly",$E399/12,IF($H399="Quarterly (From April)",$E399/4,IF($H399="Termly",0,IF($H399="Monthly (excl. August)",$E399/11,""))))</f>
        <v/>
      </c>
      <c r="P399" s="302" t="str">
        <f t="shared" ref="P399:Q402" si="279">IF($H399="Monthly",$E399/12,IF($H399="Quarterly (From April)",0,IF($H399="Termly",0,IF($H399="Monthly (excl. August)",$E399/11,""))))</f>
        <v/>
      </c>
      <c r="Q399" s="302" t="str">
        <f t="shared" si="279"/>
        <v/>
      </c>
      <c r="R399" s="302" t="str">
        <f>IF($H399="Monthly",$E399/12,IF($H399="Quarterly (From April)",$E399/4,IF($H399="Termly",$E399/3,IF($H399="Monthly (excl. August)",$E399/11,""))))</f>
        <v/>
      </c>
      <c r="S399" s="302" t="str">
        <f t="shared" ref="S399:T402" si="280">IF($H399="Monthly",$E399/12,IF($H399="Quarterly (From April)",0,IF($H399="Termly",0,IF($H399="Monthly (excl. August)",$E399/11,""))))</f>
        <v/>
      </c>
      <c r="T399" s="302" t="str">
        <f t="shared" si="280"/>
        <v/>
      </c>
      <c r="U399" s="303">
        <f>E399</f>
        <v>0</v>
      </c>
      <c r="V399" s="214">
        <f>IF(ROUND(SUM(I399:T399),0)&gt;U399,1,IF(ROUND(SUM(I399:T399),0)&lt;U399,1,0))</f>
        <v>0</v>
      </c>
      <c r="W399" s="322">
        <f>ROUND(SUM(I399:T399)-U399,0)</f>
        <v>0</v>
      </c>
    </row>
    <row r="400" spans="1:23" x14ac:dyDescent="0.2">
      <c r="A400" s="1093"/>
      <c r="B400" s="160"/>
      <c r="C400" s="108"/>
      <c r="D400" s="95"/>
      <c r="E400" s="250"/>
      <c r="F400" s="251"/>
      <c r="H400" s="43" t="s">
        <v>267</v>
      </c>
      <c r="I400" s="302" t="str">
        <f>IF($H400="Monthly",$E400/12,IF($H400="Quarterly (From April)",$E400/4,IF($H400="Termly",$E400/3,IF($H400="Monthly (excl. August)",$E400/11,""))))</f>
        <v/>
      </c>
      <c r="J400" s="302" t="str">
        <f t="shared" si="278"/>
        <v/>
      </c>
      <c r="K400" s="302" t="str">
        <f t="shared" si="278"/>
        <v/>
      </c>
      <c r="L400" s="302" t="str">
        <f>IF($H400="Monthly",$E400/12,IF($H400="Quarterly (From April)",$E400/4,IF($H400="Termly",0,IF($H400="Monthly (excl. August)",$E400/11,""))))</f>
        <v/>
      </c>
      <c r="M400" s="302" t="str">
        <f>IF($H400="Monthly",$E400/12,IF($H400="Quarterly (From April)",0,IF($H400="Termly",0,IF($H400="Monthly (excl. August)",0,""))))</f>
        <v/>
      </c>
      <c r="N400" s="302" t="str">
        <f>IF($H400="Monthly",$E400/12,IF($H400="Quarterly (From April)",0,IF($H400="Termly",$E400/3,IF($H400="Monthly (excl. August)",$E400/11,""))))</f>
        <v/>
      </c>
      <c r="O400" s="302" t="str">
        <f>IF($H400="Monthly",$E400/12,IF($H400="Quarterly (From April)",$E400/4,IF($H400="Termly",0,IF($H400="Monthly (excl. August)",$E400/11,""))))</f>
        <v/>
      </c>
      <c r="P400" s="302" t="str">
        <f t="shared" si="279"/>
        <v/>
      </c>
      <c r="Q400" s="302" t="str">
        <f t="shared" si="279"/>
        <v/>
      </c>
      <c r="R400" s="302" t="str">
        <f>IF($H400="Monthly",$E400/12,IF($H400="Quarterly (From April)",$E400/4,IF($H400="Termly",$E400/3,IF($H400="Monthly (excl. August)",$E400/11,""))))</f>
        <v/>
      </c>
      <c r="S400" s="302" t="str">
        <f t="shared" si="280"/>
        <v/>
      </c>
      <c r="T400" s="302" t="str">
        <f t="shared" si="280"/>
        <v/>
      </c>
      <c r="U400" s="303">
        <f>E400</f>
        <v>0</v>
      </c>
      <c r="V400" s="214">
        <f>IF(ROUND(SUM(I400:T400),0)&gt;U400,1,IF(ROUND(SUM(I400:T400),0)&lt;U400,1,0))</f>
        <v>0</v>
      </c>
      <c r="W400" s="322">
        <f>ROUND(SUM(I400:T400)-U400,0)</f>
        <v>0</v>
      </c>
    </row>
    <row r="401" spans="1:23" x14ac:dyDescent="0.2">
      <c r="A401" s="1093"/>
      <c r="B401" s="160"/>
      <c r="C401" s="108"/>
      <c r="D401" s="95"/>
      <c r="E401" s="250"/>
      <c r="F401" s="251"/>
      <c r="H401" s="43" t="s">
        <v>267</v>
      </c>
      <c r="I401" s="302" t="str">
        <f>IF($H401="Monthly",$E401/12,IF($H401="Quarterly (From April)",$E401/4,IF($H401="Termly",$E401/3,IF($H401="Monthly (excl. August)",$E401/11,""))))</f>
        <v/>
      </c>
      <c r="J401" s="302" t="str">
        <f t="shared" si="278"/>
        <v/>
      </c>
      <c r="K401" s="302" t="str">
        <f t="shared" si="278"/>
        <v/>
      </c>
      <c r="L401" s="302" t="str">
        <f>IF($H401="Monthly",$E401/12,IF($H401="Quarterly (From April)",$E401/4,IF($H401="Termly",0,IF($H401="Monthly (excl. August)",$E401/11,""))))</f>
        <v/>
      </c>
      <c r="M401" s="302" t="str">
        <f>IF($H401="Monthly",$E401/12,IF($H401="Quarterly (From April)",0,IF($H401="Termly",0,IF($H401="Monthly (excl. August)",0,""))))</f>
        <v/>
      </c>
      <c r="N401" s="302" t="str">
        <f>IF($H401="Monthly",$E401/12,IF($H401="Quarterly (From April)",0,IF($H401="Termly",$E401/3,IF($H401="Monthly (excl. August)",$E401/11,""))))</f>
        <v/>
      </c>
      <c r="O401" s="302" t="str">
        <f>IF($H401="Monthly",$E401/12,IF($H401="Quarterly (From April)",$E401/4,IF($H401="Termly",0,IF($H401="Monthly (excl. August)",$E401/11,""))))</f>
        <v/>
      </c>
      <c r="P401" s="302" t="str">
        <f t="shared" si="279"/>
        <v/>
      </c>
      <c r="Q401" s="302" t="str">
        <f t="shared" si="279"/>
        <v/>
      </c>
      <c r="R401" s="302" t="str">
        <f>IF($H401="Monthly",$E401/12,IF($H401="Quarterly (From April)",$E401/4,IF($H401="Termly",$E401/3,IF($H401="Monthly (excl. August)",$E401/11,""))))</f>
        <v/>
      </c>
      <c r="S401" s="302" t="str">
        <f t="shared" si="280"/>
        <v/>
      </c>
      <c r="T401" s="302" t="str">
        <f t="shared" si="280"/>
        <v/>
      </c>
      <c r="U401" s="303">
        <f>E401</f>
        <v>0</v>
      </c>
      <c r="V401" s="214">
        <f>IF(ROUND(SUM(I401:T401),0)&gt;U401,1,IF(ROUND(SUM(I401:T401),0)&lt;U401,1,0))</f>
        <v>0</v>
      </c>
      <c r="W401" s="322">
        <f>ROUND(SUM(I401:T401)-U401,0)</f>
        <v>0</v>
      </c>
    </row>
    <row r="402" spans="1:23" ht="13.5" thickBot="1" x14ac:dyDescent="0.25">
      <c r="A402" s="1094"/>
      <c r="B402" s="161"/>
      <c r="C402" s="109"/>
      <c r="D402" s="100"/>
      <c r="E402" s="256"/>
      <c r="F402" s="257">
        <f>SUM(E399:E402)</f>
        <v>0</v>
      </c>
      <c r="H402" s="43" t="s">
        <v>267</v>
      </c>
      <c r="I402" s="302" t="str">
        <f>IF($H402="Monthly",$E402/12,IF($H402="Quarterly (From April)",$E402/4,IF($H402="Termly",$E402/3,IF($H402="Monthly (excl. August)",$E402/11,""))))</f>
        <v/>
      </c>
      <c r="J402" s="302" t="str">
        <f t="shared" si="278"/>
        <v/>
      </c>
      <c r="K402" s="302" t="str">
        <f t="shared" si="278"/>
        <v/>
      </c>
      <c r="L402" s="302" t="str">
        <f>IF($H402="Monthly",$E402/12,IF($H402="Quarterly (From April)",$E402/4,IF($H402="Termly",0,IF($H402="Monthly (excl. August)",$E402/11,""))))</f>
        <v/>
      </c>
      <c r="M402" s="302" t="str">
        <f>IF($H402="Monthly",$E402/12,IF($H402="Quarterly (From April)",0,IF($H402="Termly",0,IF($H402="Monthly (excl. August)",0,""))))</f>
        <v/>
      </c>
      <c r="N402" s="302" t="str">
        <f>IF($H402="Monthly",$E402/12,IF($H402="Quarterly (From April)",0,IF($H402="Termly",$E402/3,IF($H402="Monthly (excl. August)",$E402/11,""))))</f>
        <v/>
      </c>
      <c r="O402" s="302" t="str">
        <f>IF($H402="Monthly",$E402/12,IF($H402="Quarterly (From April)",$E402/4,IF($H402="Termly",0,IF($H402="Monthly (excl. August)",$E402/11,""))))</f>
        <v/>
      </c>
      <c r="P402" s="302" t="str">
        <f t="shared" si="279"/>
        <v/>
      </c>
      <c r="Q402" s="302" t="str">
        <f t="shared" si="279"/>
        <v/>
      </c>
      <c r="R402" s="302" t="str">
        <f>IF($H402="Monthly",$E402/12,IF($H402="Quarterly (From April)",$E402/4,IF($H402="Termly",$E402/3,IF($H402="Monthly (excl. August)",$E402/11,""))))</f>
        <v/>
      </c>
      <c r="S402" s="302" t="str">
        <f t="shared" si="280"/>
        <v/>
      </c>
      <c r="T402" s="302" t="str">
        <f t="shared" si="280"/>
        <v/>
      </c>
      <c r="U402" s="303">
        <f>E402</f>
        <v>0</v>
      </c>
      <c r="V402" s="214">
        <f>IF(ROUND(SUM(I402:T402),0)&gt;U402,1,IF(ROUND(SUM(I402:T402),0)&lt;U402,1,0))</f>
        <v>0</v>
      </c>
      <c r="W402" s="322">
        <f>ROUND(SUM(I402:T402)-U402,0)</f>
        <v>0</v>
      </c>
    </row>
    <row r="403" spans="1:23" ht="13.5" thickBot="1" x14ac:dyDescent="0.25">
      <c r="A403" s="41"/>
      <c r="B403" s="117"/>
      <c r="C403" s="101"/>
      <c r="D403" s="102"/>
      <c r="E403" s="259"/>
      <c r="F403" s="260"/>
      <c r="I403" s="306"/>
      <c r="J403" s="306"/>
      <c r="K403" s="306"/>
      <c r="L403" s="306"/>
      <c r="M403" s="306"/>
      <c r="N403" s="306"/>
      <c r="O403" s="306"/>
      <c r="P403" s="306"/>
      <c r="Q403" s="306"/>
      <c r="R403" s="306"/>
      <c r="S403" s="306"/>
      <c r="T403" s="306"/>
      <c r="U403" s="305"/>
      <c r="W403" s="322"/>
    </row>
    <row r="404" spans="1:23" x14ac:dyDescent="0.2">
      <c r="A404" s="1113" t="s">
        <v>515</v>
      </c>
      <c r="B404" s="156">
        <v>4923</v>
      </c>
      <c r="C404" s="113" t="s">
        <v>516</v>
      </c>
      <c r="D404" s="93"/>
      <c r="E404" s="246"/>
      <c r="F404" s="247"/>
      <c r="H404" s="43" t="s">
        <v>267</v>
      </c>
      <c r="I404" s="302" t="str">
        <f t="shared" ref="I404:I423" si="281">IF($H404="Monthly",$E404/12,IF($H404="Quarterly (From April)",$E404/4,IF($H404="Termly",$E404/3,IF($H404="Monthly (excl. August)",$E404/11,""))))</f>
        <v/>
      </c>
      <c r="J404" s="302" t="str">
        <f t="shared" ref="J404:K423" si="282">IF($H404="Monthly",$E404/12,IF($H404="Quarterly (From April)",0,IF($H404="Termly",0,IF($H404="Monthly (excl. August)",$E404/11,""))))</f>
        <v/>
      </c>
      <c r="K404" s="302" t="str">
        <f t="shared" si="282"/>
        <v/>
      </c>
      <c r="L404" s="302" t="str">
        <f t="shared" ref="L404:L423" si="283">IF($H404="Monthly",$E404/12,IF($H404="Quarterly (From April)",$E404/4,IF($H404="Termly",0,IF($H404="Monthly (excl. August)",$E404/11,""))))</f>
        <v/>
      </c>
      <c r="M404" s="302" t="str">
        <f t="shared" ref="M404:M423" si="284">IF($H404="Monthly",$E404/12,IF($H404="Quarterly (From April)",0,IF($H404="Termly",0,IF($H404="Monthly (excl. August)",0,""))))</f>
        <v/>
      </c>
      <c r="N404" s="302" t="str">
        <f t="shared" ref="N404:N423" si="285">IF($H404="Monthly",$E404/12,IF($H404="Quarterly (From April)",0,IF($H404="Termly",$E404/3,IF($H404="Monthly (excl. August)",$E404/11,""))))</f>
        <v/>
      </c>
      <c r="O404" s="302" t="str">
        <f t="shared" ref="O404:O423" si="286">IF($H404="Monthly",$E404/12,IF($H404="Quarterly (From April)",$E404/4,IF($H404="Termly",0,IF($H404="Monthly (excl. August)",$E404/11,""))))</f>
        <v/>
      </c>
      <c r="P404" s="302" t="str">
        <f t="shared" ref="P404:Q423" si="287">IF($H404="Monthly",$E404/12,IF($H404="Quarterly (From April)",0,IF($H404="Termly",0,IF($H404="Monthly (excl. August)",$E404/11,""))))</f>
        <v/>
      </c>
      <c r="Q404" s="302" t="str">
        <f t="shared" si="287"/>
        <v/>
      </c>
      <c r="R404" s="302" t="str">
        <f t="shared" ref="R404:R423" si="288">IF($H404="Monthly",$E404/12,IF($H404="Quarterly (From April)",$E404/4,IF($H404="Termly",$E404/3,IF($H404="Monthly (excl. August)",$E404/11,""))))</f>
        <v/>
      </c>
      <c r="S404" s="302" t="str">
        <f t="shared" ref="S404:T423" si="289">IF($H404="Monthly",$E404/12,IF($H404="Quarterly (From April)",0,IF($H404="Termly",0,IF($H404="Monthly (excl. August)",$E404/11,""))))</f>
        <v/>
      </c>
      <c r="T404" s="302" t="str">
        <f t="shared" si="289"/>
        <v/>
      </c>
      <c r="U404" s="303">
        <f t="shared" ref="U404:U423" si="290">E404</f>
        <v>0</v>
      </c>
      <c r="V404" s="214">
        <f t="shared" ref="V404:V423" si="291">IF(ROUND(SUM(I404:T404),0)&gt;U404,1,IF(ROUND(SUM(I404:T404),0)&lt;U404,1,0))</f>
        <v>0</v>
      </c>
      <c r="W404" s="322">
        <f t="shared" ref="W404:W423" si="292">ROUND(SUM(I404:T404)-U404,0)</f>
        <v>0</v>
      </c>
    </row>
    <row r="405" spans="1:23" x14ac:dyDescent="0.2">
      <c r="A405" s="1111"/>
      <c r="B405" s="163">
        <v>2977</v>
      </c>
      <c r="C405" s="114" t="s">
        <v>658</v>
      </c>
      <c r="D405" s="1006" t="s">
        <v>1056</v>
      </c>
      <c r="E405" s="248">
        <v>23611</v>
      </c>
      <c r="F405" s="249"/>
      <c r="H405" s="43" t="s">
        <v>290</v>
      </c>
      <c r="I405" s="302">
        <f t="shared" si="281"/>
        <v>1967.5833333333333</v>
      </c>
      <c r="J405" s="302">
        <f t="shared" si="282"/>
        <v>1967.5833333333333</v>
      </c>
      <c r="K405" s="302">
        <f t="shared" si="282"/>
        <v>1967.5833333333333</v>
      </c>
      <c r="L405" s="302">
        <f t="shared" si="283"/>
        <v>1967.5833333333333</v>
      </c>
      <c r="M405" s="302">
        <f t="shared" si="284"/>
        <v>1967.5833333333333</v>
      </c>
      <c r="N405" s="302">
        <f t="shared" si="285"/>
        <v>1967.5833333333333</v>
      </c>
      <c r="O405" s="302">
        <f t="shared" si="286"/>
        <v>1967.5833333333333</v>
      </c>
      <c r="P405" s="302">
        <f t="shared" si="287"/>
        <v>1967.5833333333333</v>
      </c>
      <c r="Q405" s="302">
        <f t="shared" si="287"/>
        <v>1967.5833333333333</v>
      </c>
      <c r="R405" s="302">
        <f t="shared" si="288"/>
        <v>1967.5833333333333</v>
      </c>
      <c r="S405" s="302">
        <f t="shared" si="289"/>
        <v>1967.5833333333333</v>
      </c>
      <c r="T405" s="302">
        <f t="shared" si="289"/>
        <v>1967.5833333333333</v>
      </c>
      <c r="U405" s="303">
        <f t="shared" si="290"/>
        <v>23611</v>
      </c>
      <c r="V405" s="214">
        <f t="shared" si="291"/>
        <v>0</v>
      </c>
      <c r="W405" s="322">
        <f t="shared" si="292"/>
        <v>0</v>
      </c>
    </row>
    <row r="406" spans="1:23" x14ac:dyDescent="0.2">
      <c r="A406" s="1111"/>
      <c r="B406" s="163">
        <v>1043</v>
      </c>
      <c r="C406" s="114" t="s">
        <v>478</v>
      </c>
      <c r="D406" s="94"/>
      <c r="E406" s="248"/>
      <c r="F406" s="249"/>
      <c r="H406" s="43" t="s">
        <v>267</v>
      </c>
      <c r="I406" s="302" t="str">
        <f t="shared" si="281"/>
        <v/>
      </c>
      <c r="J406" s="302" t="str">
        <f t="shared" si="282"/>
        <v/>
      </c>
      <c r="K406" s="302" t="str">
        <f t="shared" si="282"/>
        <v/>
      </c>
      <c r="L406" s="302" t="str">
        <f t="shared" si="283"/>
        <v/>
      </c>
      <c r="M406" s="302" t="str">
        <f t="shared" si="284"/>
        <v/>
      </c>
      <c r="N406" s="302" t="str">
        <f t="shared" si="285"/>
        <v/>
      </c>
      <c r="O406" s="302" t="str">
        <f t="shared" si="286"/>
        <v/>
      </c>
      <c r="P406" s="302" t="str">
        <f t="shared" si="287"/>
        <v/>
      </c>
      <c r="Q406" s="302" t="str">
        <f t="shared" si="287"/>
        <v/>
      </c>
      <c r="R406" s="302" t="str">
        <f t="shared" si="288"/>
        <v/>
      </c>
      <c r="S406" s="302" t="str">
        <f t="shared" si="289"/>
        <v/>
      </c>
      <c r="T406" s="302" t="str">
        <f t="shared" si="289"/>
        <v/>
      </c>
      <c r="U406" s="303">
        <f t="shared" si="290"/>
        <v>0</v>
      </c>
      <c r="V406" s="214">
        <f t="shared" si="291"/>
        <v>0</v>
      </c>
      <c r="W406" s="322">
        <f t="shared" si="292"/>
        <v>0</v>
      </c>
    </row>
    <row r="407" spans="1:23" x14ac:dyDescent="0.2">
      <c r="A407" s="1111"/>
      <c r="B407" s="157">
        <v>2999</v>
      </c>
      <c r="C407" s="108" t="s">
        <v>758</v>
      </c>
      <c r="D407" s="94"/>
      <c r="E407" s="248"/>
      <c r="F407" s="249"/>
      <c r="H407" s="43" t="s">
        <v>267</v>
      </c>
      <c r="I407" s="302" t="str">
        <f t="shared" si="281"/>
        <v/>
      </c>
      <c r="J407" s="302" t="str">
        <f t="shared" si="282"/>
        <v/>
      </c>
      <c r="K407" s="302" t="str">
        <f t="shared" si="282"/>
        <v/>
      </c>
      <c r="L407" s="302" t="str">
        <f t="shared" si="283"/>
        <v/>
      </c>
      <c r="M407" s="302" t="str">
        <f t="shared" si="284"/>
        <v/>
      </c>
      <c r="N407" s="302" t="str">
        <f t="shared" si="285"/>
        <v/>
      </c>
      <c r="O407" s="302" t="str">
        <f t="shared" si="286"/>
        <v/>
      </c>
      <c r="P407" s="302" t="str">
        <f t="shared" si="287"/>
        <v/>
      </c>
      <c r="Q407" s="302" t="str">
        <f t="shared" si="287"/>
        <v/>
      </c>
      <c r="R407" s="302" t="str">
        <f t="shared" si="288"/>
        <v/>
      </c>
      <c r="S407" s="302" t="str">
        <f t="shared" si="289"/>
        <v/>
      </c>
      <c r="T407" s="302" t="str">
        <f t="shared" si="289"/>
        <v/>
      </c>
      <c r="U407" s="303">
        <f t="shared" si="290"/>
        <v>0</v>
      </c>
      <c r="V407" s="214">
        <f t="shared" si="291"/>
        <v>0</v>
      </c>
      <c r="W407" s="322">
        <f t="shared" si="292"/>
        <v>0</v>
      </c>
    </row>
    <row r="408" spans="1:23" x14ac:dyDescent="0.2">
      <c r="A408" s="1111"/>
      <c r="B408" s="160">
        <v>4508</v>
      </c>
      <c r="C408" s="108" t="s">
        <v>759</v>
      </c>
      <c r="D408" s="94"/>
      <c r="E408" s="248"/>
      <c r="F408" s="249"/>
      <c r="H408" s="43" t="s">
        <v>267</v>
      </c>
      <c r="I408" s="302" t="str">
        <f t="shared" si="281"/>
        <v/>
      </c>
      <c r="J408" s="302" t="str">
        <f t="shared" si="282"/>
        <v/>
      </c>
      <c r="K408" s="302" t="str">
        <f t="shared" si="282"/>
        <v/>
      </c>
      <c r="L408" s="302" t="str">
        <f t="shared" si="283"/>
        <v/>
      </c>
      <c r="M408" s="302" t="str">
        <f t="shared" si="284"/>
        <v/>
      </c>
      <c r="N408" s="302" t="str">
        <f t="shared" si="285"/>
        <v/>
      </c>
      <c r="O408" s="302" t="str">
        <f t="shared" si="286"/>
        <v/>
      </c>
      <c r="P408" s="302" t="str">
        <f t="shared" si="287"/>
        <v/>
      </c>
      <c r="Q408" s="302" t="str">
        <f t="shared" si="287"/>
        <v/>
      </c>
      <c r="R408" s="302" t="str">
        <f t="shared" si="288"/>
        <v/>
      </c>
      <c r="S408" s="302" t="str">
        <f t="shared" si="289"/>
        <v/>
      </c>
      <c r="T408" s="302" t="str">
        <f t="shared" si="289"/>
        <v/>
      </c>
      <c r="U408" s="303">
        <f t="shared" si="290"/>
        <v>0</v>
      </c>
      <c r="V408" s="214">
        <f t="shared" si="291"/>
        <v>0</v>
      </c>
      <c r="W408" s="322">
        <f t="shared" si="292"/>
        <v>0</v>
      </c>
    </row>
    <row r="409" spans="1:23" x14ac:dyDescent="0.2">
      <c r="A409" s="1111"/>
      <c r="B409" s="160"/>
      <c r="C409" s="108"/>
      <c r="D409" s="94"/>
      <c r="E409" s="248"/>
      <c r="F409" s="249"/>
      <c r="H409" s="43" t="s">
        <v>267</v>
      </c>
      <c r="I409" s="302" t="str">
        <f t="shared" si="281"/>
        <v/>
      </c>
      <c r="J409" s="302" t="str">
        <f t="shared" si="282"/>
        <v/>
      </c>
      <c r="K409" s="302" t="str">
        <f t="shared" si="282"/>
        <v/>
      </c>
      <c r="L409" s="302" t="str">
        <f t="shared" si="283"/>
        <v/>
      </c>
      <c r="M409" s="302" t="str">
        <f t="shared" si="284"/>
        <v/>
      </c>
      <c r="N409" s="302" t="str">
        <f t="shared" si="285"/>
        <v/>
      </c>
      <c r="O409" s="302" t="str">
        <f t="shared" si="286"/>
        <v/>
      </c>
      <c r="P409" s="302" t="str">
        <f t="shared" si="287"/>
        <v/>
      </c>
      <c r="Q409" s="302" t="str">
        <f t="shared" si="287"/>
        <v/>
      </c>
      <c r="R409" s="302" t="str">
        <f t="shared" si="288"/>
        <v/>
      </c>
      <c r="S409" s="302" t="str">
        <f t="shared" si="289"/>
        <v/>
      </c>
      <c r="T409" s="302" t="str">
        <f t="shared" si="289"/>
        <v/>
      </c>
      <c r="U409" s="303">
        <f t="shared" si="290"/>
        <v>0</v>
      </c>
      <c r="V409" s="214">
        <f t="shared" si="291"/>
        <v>0</v>
      </c>
      <c r="W409" s="322">
        <f t="shared" si="292"/>
        <v>0</v>
      </c>
    </row>
    <row r="410" spans="1:23" x14ac:dyDescent="0.2">
      <c r="A410" s="1111"/>
      <c r="B410" s="160"/>
      <c r="C410" s="108"/>
      <c r="D410" s="94"/>
      <c r="E410" s="248"/>
      <c r="F410" s="249"/>
      <c r="H410" s="43" t="s">
        <v>267</v>
      </c>
      <c r="I410" s="302" t="str">
        <f t="shared" si="281"/>
        <v/>
      </c>
      <c r="J410" s="302" t="str">
        <f t="shared" si="282"/>
        <v/>
      </c>
      <c r="K410" s="302" t="str">
        <f t="shared" si="282"/>
        <v/>
      </c>
      <c r="L410" s="302" t="str">
        <f t="shared" si="283"/>
        <v/>
      </c>
      <c r="M410" s="302" t="str">
        <f t="shared" si="284"/>
        <v/>
      </c>
      <c r="N410" s="302" t="str">
        <f t="shared" si="285"/>
        <v/>
      </c>
      <c r="O410" s="302" t="str">
        <f t="shared" si="286"/>
        <v/>
      </c>
      <c r="P410" s="302" t="str">
        <f t="shared" si="287"/>
        <v/>
      </c>
      <c r="Q410" s="302" t="str">
        <f t="shared" si="287"/>
        <v/>
      </c>
      <c r="R410" s="302" t="str">
        <f t="shared" si="288"/>
        <v/>
      </c>
      <c r="S410" s="302" t="str">
        <f t="shared" si="289"/>
        <v/>
      </c>
      <c r="T410" s="302" t="str">
        <f t="shared" si="289"/>
        <v/>
      </c>
      <c r="U410" s="303">
        <f t="shared" si="290"/>
        <v>0</v>
      </c>
      <c r="V410" s="214">
        <f t="shared" si="291"/>
        <v>0</v>
      </c>
      <c r="W410" s="322">
        <f t="shared" si="292"/>
        <v>0</v>
      </c>
    </row>
    <row r="411" spans="1:23" x14ac:dyDescent="0.2">
      <c r="A411" s="1111"/>
      <c r="B411" s="160"/>
      <c r="C411" s="108"/>
      <c r="D411" s="94"/>
      <c r="E411" s="248"/>
      <c r="F411" s="249"/>
      <c r="H411" s="43" t="s">
        <v>267</v>
      </c>
      <c r="I411" s="302" t="str">
        <f t="shared" si="281"/>
        <v/>
      </c>
      <c r="J411" s="302" t="str">
        <f t="shared" si="282"/>
        <v/>
      </c>
      <c r="K411" s="302" t="str">
        <f t="shared" si="282"/>
        <v/>
      </c>
      <c r="L411" s="302" t="str">
        <f t="shared" si="283"/>
        <v/>
      </c>
      <c r="M411" s="302" t="str">
        <f t="shared" si="284"/>
        <v/>
      </c>
      <c r="N411" s="302" t="str">
        <f t="shared" si="285"/>
        <v/>
      </c>
      <c r="O411" s="302" t="str">
        <f t="shared" si="286"/>
        <v/>
      </c>
      <c r="P411" s="302" t="str">
        <f t="shared" si="287"/>
        <v/>
      </c>
      <c r="Q411" s="302" t="str">
        <f t="shared" si="287"/>
        <v/>
      </c>
      <c r="R411" s="302" t="str">
        <f t="shared" si="288"/>
        <v/>
      </c>
      <c r="S411" s="302" t="str">
        <f t="shared" si="289"/>
        <v/>
      </c>
      <c r="T411" s="302" t="str">
        <f t="shared" si="289"/>
        <v/>
      </c>
      <c r="U411" s="303">
        <f t="shared" ref="U411:U421" si="293">E411</f>
        <v>0</v>
      </c>
      <c r="V411" s="214">
        <f t="shared" ref="V411:V421" si="294">IF(ROUND(SUM(I411:T411),0)&gt;U411,1,IF(ROUND(SUM(I411:T411),0)&lt;U411,1,0))</f>
        <v>0</v>
      </c>
      <c r="W411" s="322"/>
    </row>
    <row r="412" spans="1:23" x14ac:dyDescent="0.2">
      <c r="A412" s="1111"/>
      <c r="B412" s="160"/>
      <c r="C412" s="108"/>
      <c r="D412" s="94"/>
      <c r="E412" s="248"/>
      <c r="F412" s="249"/>
      <c r="H412" s="43" t="s">
        <v>267</v>
      </c>
      <c r="I412" s="302" t="str">
        <f t="shared" si="281"/>
        <v/>
      </c>
      <c r="J412" s="302" t="str">
        <f t="shared" si="282"/>
        <v/>
      </c>
      <c r="K412" s="302" t="str">
        <f t="shared" si="282"/>
        <v/>
      </c>
      <c r="L412" s="302" t="str">
        <f t="shared" si="283"/>
        <v/>
      </c>
      <c r="M412" s="302" t="str">
        <f t="shared" si="284"/>
        <v/>
      </c>
      <c r="N412" s="302" t="str">
        <f t="shared" si="285"/>
        <v/>
      </c>
      <c r="O412" s="302" t="str">
        <f t="shared" si="286"/>
        <v/>
      </c>
      <c r="P412" s="302" t="str">
        <f t="shared" si="287"/>
        <v/>
      </c>
      <c r="Q412" s="302" t="str">
        <f t="shared" si="287"/>
        <v/>
      </c>
      <c r="R412" s="302" t="str">
        <f t="shared" si="288"/>
        <v/>
      </c>
      <c r="S412" s="302" t="str">
        <f t="shared" si="289"/>
        <v/>
      </c>
      <c r="T412" s="302" t="str">
        <f t="shared" si="289"/>
        <v/>
      </c>
      <c r="U412" s="303">
        <f t="shared" si="293"/>
        <v>0</v>
      </c>
      <c r="V412" s="214">
        <f t="shared" si="294"/>
        <v>0</v>
      </c>
      <c r="W412" s="322"/>
    </row>
    <row r="413" spans="1:23" x14ac:dyDescent="0.2">
      <c r="A413" s="1111"/>
      <c r="B413" s="160"/>
      <c r="C413" s="108"/>
      <c r="D413" s="94"/>
      <c r="E413" s="248"/>
      <c r="F413" s="249"/>
      <c r="H413" s="43" t="s">
        <v>267</v>
      </c>
      <c r="I413" s="302" t="str">
        <f t="shared" si="281"/>
        <v/>
      </c>
      <c r="J413" s="302" t="str">
        <f t="shared" si="282"/>
        <v/>
      </c>
      <c r="K413" s="302" t="str">
        <f t="shared" si="282"/>
        <v/>
      </c>
      <c r="L413" s="302" t="str">
        <f t="shared" si="283"/>
        <v/>
      </c>
      <c r="M413" s="302" t="str">
        <f t="shared" si="284"/>
        <v/>
      </c>
      <c r="N413" s="302" t="str">
        <f t="shared" si="285"/>
        <v/>
      </c>
      <c r="O413" s="302" t="str">
        <f t="shared" si="286"/>
        <v/>
      </c>
      <c r="P413" s="302" t="str">
        <f t="shared" si="287"/>
        <v/>
      </c>
      <c r="Q413" s="302" t="str">
        <f t="shared" si="287"/>
        <v/>
      </c>
      <c r="R413" s="302" t="str">
        <f t="shared" si="288"/>
        <v/>
      </c>
      <c r="S413" s="302" t="str">
        <f t="shared" si="289"/>
        <v/>
      </c>
      <c r="T413" s="302" t="str">
        <f t="shared" si="289"/>
        <v/>
      </c>
      <c r="U413" s="303">
        <f t="shared" si="293"/>
        <v>0</v>
      </c>
      <c r="V413" s="214">
        <f t="shared" si="294"/>
        <v>0</v>
      </c>
      <c r="W413" s="322"/>
    </row>
    <row r="414" spans="1:23" x14ac:dyDescent="0.2">
      <c r="A414" s="1111"/>
      <c r="B414" s="160"/>
      <c r="C414" s="108"/>
      <c r="D414" s="94"/>
      <c r="E414" s="248"/>
      <c r="F414" s="249"/>
      <c r="H414" s="43" t="s">
        <v>267</v>
      </c>
      <c r="I414" s="302" t="str">
        <f t="shared" si="281"/>
        <v/>
      </c>
      <c r="J414" s="302" t="str">
        <f t="shared" si="282"/>
        <v/>
      </c>
      <c r="K414" s="302" t="str">
        <f t="shared" si="282"/>
        <v/>
      </c>
      <c r="L414" s="302" t="str">
        <f t="shared" si="283"/>
        <v/>
      </c>
      <c r="M414" s="302" t="str">
        <f t="shared" si="284"/>
        <v/>
      </c>
      <c r="N414" s="302" t="str">
        <f t="shared" si="285"/>
        <v/>
      </c>
      <c r="O414" s="302" t="str">
        <f t="shared" si="286"/>
        <v/>
      </c>
      <c r="P414" s="302" t="str">
        <f t="shared" si="287"/>
        <v/>
      </c>
      <c r="Q414" s="302" t="str">
        <f t="shared" si="287"/>
        <v/>
      </c>
      <c r="R414" s="302" t="str">
        <f t="shared" si="288"/>
        <v/>
      </c>
      <c r="S414" s="302" t="str">
        <f t="shared" si="289"/>
        <v/>
      </c>
      <c r="T414" s="302" t="str">
        <f t="shared" si="289"/>
        <v/>
      </c>
      <c r="U414" s="303">
        <f t="shared" si="293"/>
        <v>0</v>
      </c>
      <c r="V414" s="214">
        <f t="shared" si="294"/>
        <v>0</v>
      </c>
      <c r="W414" s="322"/>
    </row>
    <row r="415" spans="1:23" x14ac:dyDescent="0.2">
      <c r="A415" s="1111"/>
      <c r="B415" s="160"/>
      <c r="C415" s="108"/>
      <c r="D415" s="94"/>
      <c r="E415" s="248"/>
      <c r="F415" s="249"/>
      <c r="H415" s="43" t="s">
        <v>267</v>
      </c>
      <c r="I415" s="302" t="str">
        <f t="shared" si="281"/>
        <v/>
      </c>
      <c r="J415" s="302" t="str">
        <f t="shared" si="282"/>
        <v/>
      </c>
      <c r="K415" s="302" t="str">
        <f t="shared" si="282"/>
        <v/>
      </c>
      <c r="L415" s="302" t="str">
        <f t="shared" si="283"/>
        <v/>
      </c>
      <c r="M415" s="302" t="str">
        <f t="shared" si="284"/>
        <v/>
      </c>
      <c r="N415" s="302" t="str">
        <f t="shared" si="285"/>
        <v/>
      </c>
      <c r="O415" s="302" t="str">
        <f t="shared" si="286"/>
        <v/>
      </c>
      <c r="P415" s="302" t="str">
        <f t="shared" si="287"/>
        <v/>
      </c>
      <c r="Q415" s="302" t="str">
        <f t="shared" si="287"/>
        <v/>
      </c>
      <c r="R415" s="302" t="str">
        <f t="shared" si="288"/>
        <v/>
      </c>
      <c r="S415" s="302" t="str">
        <f t="shared" si="289"/>
        <v/>
      </c>
      <c r="T415" s="302" t="str">
        <f t="shared" si="289"/>
        <v/>
      </c>
      <c r="U415" s="303">
        <f t="shared" si="293"/>
        <v>0</v>
      </c>
      <c r="V415" s="214">
        <f t="shared" si="294"/>
        <v>0</v>
      </c>
      <c r="W415" s="322"/>
    </row>
    <row r="416" spans="1:23" x14ac:dyDescent="0.2">
      <c r="A416" s="1111"/>
      <c r="B416" s="160"/>
      <c r="C416" s="108"/>
      <c r="D416" s="94"/>
      <c r="E416" s="248"/>
      <c r="F416" s="249"/>
      <c r="H416" s="43" t="s">
        <v>267</v>
      </c>
      <c r="I416" s="302" t="str">
        <f t="shared" si="281"/>
        <v/>
      </c>
      <c r="J416" s="302" t="str">
        <f t="shared" si="282"/>
        <v/>
      </c>
      <c r="K416" s="302" t="str">
        <f t="shared" si="282"/>
        <v/>
      </c>
      <c r="L416" s="302" t="str">
        <f t="shared" si="283"/>
        <v/>
      </c>
      <c r="M416" s="302" t="str">
        <f t="shared" si="284"/>
        <v/>
      </c>
      <c r="N416" s="302" t="str">
        <f t="shared" si="285"/>
        <v/>
      </c>
      <c r="O416" s="302" t="str">
        <f t="shared" si="286"/>
        <v/>
      </c>
      <c r="P416" s="302" t="str">
        <f t="shared" si="287"/>
        <v/>
      </c>
      <c r="Q416" s="302" t="str">
        <f t="shared" si="287"/>
        <v/>
      </c>
      <c r="R416" s="302" t="str">
        <f t="shared" si="288"/>
        <v/>
      </c>
      <c r="S416" s="302" t="str">
        <f t="shared" si="289"/>
        <v/>
      </c>
      <c r="T416" s="302" t="str">
        <f t="shared" si="289"/>
        <v/>
      </c>
      <c r="U416" s="303">
        <f t="shared" si="293"/>
        <v>0</v>
      </c>
      <c r="V416" s="214">
        <f t="shared" si="294"/>
        <v>0</v>
      </c>
      <c r="W416" s="322"/>
    </row>
    <row r="417" spans="1:23" x14ac:dyDescent="0.2">
      <c r="A417" s="1111"/>
      <c r="B417" s="160"/>
      <c r="C417" s="108"/>
      <c r="D417" s="94"/>
      <c r="E417" s="248"/>
      <c r="F417" s="249"/>
      <c r="H417" s="43" t="s">
        <v>267</v>
      </c>
      <c r="I417" s="302" t="str">
        <f t="shared" si="281"/>
        <v/>
      </c>
      <c r="J417" s="302" t="str">
        <f t="shared" si="282"/>
        <v/>
      </c>
      <c r="K417" s="302" t="str">
        <f t="shared" si="282"/>
        <v/>
      </c>
      <c r="L417" s="302" t="str">
        <f t="shared" si="283"/>
        <v/>
      </c>
      <c r="M417" s="302" t="str">
        <f t="shared" si="284"/>
        <v/>
      </c>
      <c r="N417" s="302" t="str">
        <f t="shared" si="285"/>
        <v/>
      </c>
      <c r="O417" s="302" t="str">
        <f t="shared" si="286"/>
        <v/>
      </c>
      <c r="P417" s="302" t="str">
        <f t="shared" si="287"/>
        <v/>
      </c>
      <c r="Q417" s="302" t="str">
        <f t="shared" si="287"/>
        <v/>
      </c>
      <c r="R417" s="302" t="str">
        <f t="shared" si="288"/>
        <v/>
      </c>
      <c r="S417" s="302" t="str">
        <f t="shared" si="289"/>
        <v/>
      </c>
      <c r="T417" s="302" t="str">
        <f t="shared" si="289"/>
        <v/>
      </c>
      <c r="U417" s="303">
        <f t="shared" si="293"/>
        <v>0</v>
      </c>
      <c r="V417" s="214">
        <f t="shared" si="294"/>
        <v>0</v>
      </c>
      <c r="W417" s="322"/>
    </row>
    <row r="418" spans="1:23" x14ac:dyDescent="0.2">
      <c r="A418" s="1111"/>
      <c r="B418" s="160"/>
      <c r="C418" s="108"/>
      <c r="D418" s="94"/>
      <c r="E418" s="248"/>
      <c r="F418" s="249"/>
      <c r="H418" s="43" t="s">
        <v>267</v>
      </c>
      <c r="I418" s="302" t="str">
        <f t="shared" si="281"/>
        <v/>
      </c>
      <c r="J418" s="302" t="str">
        <f t="shared" si="282"/>
        <v/>
      </c>
      <c r="K418" s="302" t="str">
        <f t="shared" si="282"/>
        <v/>
      </c>
      <c r="L418" s="302" t="str">
        <f t="shared" si="283"/>
        <v/>
      </c>
      <c r="M418" s="302" t="str">
        <f t="shared" si="284"/>
        <v/>
      </c>
      <c r="N418" s="302" t="str">
        <f t="shared" si="285"/>
        <v/>
      </c>
      <c r="O418" s="302" t="str">
        <f t="shared" si="286"/>
        <v/>
      </c>
      <c r="P418" s="302" t="str">
        <f t="shared" si="287"/>
        <v/>
      </c>
      <c r="Q418" s="302" t="str">
        <f t="shared" si="287"/>
        <v/>
      </c>
      <c r="R418" s="302" t="str">
        <f t="shared" si="288"/>
        <v/>
      </c>
      <c r="S418" s="302" t="str">
        <f t="shared" si="289"/>
        <v/>
      </c>
      <c r="T418" s="302" t="str">
        <f t="shared" si="289"/>
        <v/>
      </c>
      <c r="U418" s="303">
        <f t="shared" si="293"/>
        <v>0</v>
      </c>
      <c r="V418" s="214">
        <f t="shared" si="294"/>
        <v>0</v>
      </c>
      <c r="W418" s="322"/>
    </row>
    <row r="419" spans="1:23" x14ac:dyDescent="0.2">
      <c r="A419" s="1111"/>
      <c r="B419" s="160"/>
      <c r="C419" s="108"/>
      <c r="D419" s="94"/>
      <c r="E419" s="248"/>
      <c r="F419" s="249"/>
      <c r="H419" s="43" t="s">
        <v>267</v>
      </c>
      <c r="I419" s="302" t="str">
        <f t="shared" si="281"/>
        <v/>
      </c>
      <c r="J419" s="302" t="str">
        <f t="shared" si="282"/>
        <v/>
      </c>
      <c r="K419" s="302" t="str">
        <f t="shared" si="282"/>
        <v/>
      </c>
      <c r="L419" s="302" t="str">
        <f t="shared" si="283"/>
        <v/>
      </c>
      <c r="M419" s="302" t="str">
        <f t="shared" si="284"/>
        <v/>
      </c>
      <c r="N419" s="302" t="str">
        <f t="shared" si="285"/>
        <v/>
      </c>
      <c r="O419" s="302" t="str">
        <f t="shared" si="286"/>
        <v/>
      </c>
      <c r="P419" s="302" t="str">
        <f t="shared" si="287"/>
        <v/>
      </c>
      <c r="Q419" s="302" t="str">
        <f t="shared" si="287"/>
        <v/>
      </c>
      <c r="R419" s="302" t="str">
        <f t="shared" si="288"/>
        <v/>
      </c>
      <c r="S419" s="302" t="str">
        <f t="shared" si="289"/>
        <v/>
      </c>
      <c r="T419" s="302" t="str">
        <f t="shared" si="289"/>
        <v/>
      </c>
      <c r="U419" s="303">
        <f t="shared" si="293"/>
        <v>0</v>
      </c>
      <c r="V419" s="214">
        <f t="shared" si="294"/>
        <v>0</v>
      </c>
      <c r="W419" s="322"/>
    </row>
    <row r="420" spans="1:23" x14ac:dyDescent="0.2">
      <c r="A420" s="1111"/>
      <c r="B420" s="160"/>
      <c r="C420" s="108"/>
      <c r="D420" s="94"/>
      <c r="E420" s="248"/>
      <c r="F420" s="249"/>
      <c r="H420" s="43" t="s">
        <v>267</v>
      </c>
      <c r="I420" s="302" t="str">
        <f t="shared" si="281"/>
        <v/>
      </c>
      <c r="J420" s="302" t="str">
        <f t="shared" si="282"/>
        <v/>
      </c>
      <c r="K420" s="302" t="str">
        <f t="shared" si="282"/>
        <v/>
      </c>
      <c r="L420" s="302" t="str">
        <f t="shared" si="283"/>
        <v/>
      </c>
      <c r="M420" s="302" t="str">
        <f t="shared" si="284"/>
        <v/>
      </c>
      <c r="N420" s="302" t="str">
        <f t="shared" si="285"/>
        <v/>
      </c>
      <c r="O420" s="302" t="str">
        <f t="shared" si="286"/>
        <v/>
      </c>
      <c r="P420" s="302" t="str">
        <f t="shared" si="287"/>
        <v/>
      </c>
      <c r="Q420" s="302" t="str">
        <f t="shared" si="287"/>
        <v/>
      </c>
      <c r="R420" s="302" t="str">
        <f t="shared" si="288"/>
        <v/>
      </c>
      <c r="S420" s="302" t="str">
        <f t="shared" si="289"/>
        <v/>
      </c>
      <c r="T420" s="302" t="str">
        <f t="shared" si="289"/>
        <v/>
      </c>
      <c r="U420" s="303">
        <f t="shared" si="293"/>
        <v>0</v>
      </c>
      <c r="V420" s="214">
        <f t="shared" si="294"/>
        <v>0</v>
      </c>
      <c r="W420" s="322"/>
    </row>
    <row r="421" spans="1:23" x14ac:dyDescent="0.2">
      <c r="A421" s="1111"/>
      <c r="B421" s="160"/>
      <c r="C421" s="108"/>
      <c r="D421" s="94"/>
      <c r="E421" s="248"/>
      <c r="F421" s="249"/>
      <c r="H421" s="43" t="s">
        <v>267</v>
      </c>
      <c r="I421" s="302" t="str">
        <f t="shared" si="281"/>
        <v/>
      </c>
      <c r="J421" s="302" t="str">
        <f t="shared" si="282"/>
        <v/>
      </c>
      <c r="K421" s="302" t="str">
        <f t="shared" si="282"/>
        <v/>
      </c>
      <c r="L421" s="302" t="str">
        <f t="shared" si="283"/>
        <v/>
      </c>
      <c r="M421" s="302" t="str">
        <f t="shared" si="284"/>
        <v/>
      </c>
      <c r="N421" s="302" t="str">
        <f t="shared" si="285"/>
        <v/>
      </c>
      <c r="O421" s="302" t="str">
        <f t="shared" si="286"/>
        <v/>
      </c>
      <c r="P421" s="302" t="str">
        <f t="shared" si="287"/>
        <v/>
      </c>
      <c r="Q421" s="302" t="str">
        <f t="shared" si="287"/>
        <v/>
      </c>
      <c r="R421" s="302" t="str">
        <f t="shared" si="288"/>
        <v/>
      </c>
      <c r="S421" s="302" t="str">
        <f t="shared" si="289"/>
        <v/>
      </c>
      <c r="T421" s="302" t="str">
        <f t="shared" si="289"/>
        <v/>
      </c>
      <c r="U421" s="303">
        <f t="shared" si="293"/>
        <v>0</v>
      </c>
      <c r="V421" s="214">
        <f t="shared" si="294"/>
        <v>0</v>
      </c>
      <c r="W421" s="322"/>
    </row>
    <row r="422" spans="1:23" x14ac:dyDescent="0.2">
      <c r="A422" s="1111"/>
      <c r="B422" s="160"/>
      <c r="C422" s="108"/>
      <c r="D422" s="95"/>
      <c r="E422" s="250"/>
      <c r="F422" s="251"/>
      <c r="H422" s="43" t="s">
        <v>267</v>
      </c>
      <c r="I422" s="302" t="str">
        <f t="shared" si="281"/>
        <v/>
      </c>
      <c r="J422" s="302" t="str">
        <f t="shared" si="282"/>
        <v/>
      </c>
      <c r="K422" s="302" t="str">
        <f t="shared" si="282"/>
        <v/>
      </c>
      <c r="L422" s="302" t="str">
        <f t="shared" si="283"/>
        <v/>
      </c>
      <c r="M422" s="302" t="str">
        <f t="shared" si="284"/>
        <v/>
      </c>
      <c r="N422" s="302" t="str">
        <f t="shared" si="285"/>
        <v/>
      </c>
      <c r="O422" s="302" t="str">
        <f t="shared" si="286"/>
        <v/>
      </c>
      <c r="P422" s="302" t="str">
        <f t="shared" si="287"/>
        <v/>
      </c>
      <c r="Q422" s="302" t="str">
        <f t="shared" si="287"/>
        <v/>
      </c>
      <c r="R422" s="302" t="str">
        <f t="shared" si="288"/>
        <v/>
      </c>
      <c r="S422" s="302" t="str">
        <f t="shared" si="289"/>
        <v/>
      </c>
      <c r="T422" s="302" t="str">
        <f t="shared" si="289"/>
        <v/>
      </c>
      <c r="U422" s="303">
        <f t="shared" si="290"/>
        <v>0</v>
      </c>
      <c r="V422" s="214">
        <f t="shared" si="291"/>
        <v>0</v>
      </c>
      <c r="W422" s="322">
        <f t="shared" si="292"/>
        <v>0</v>
      </c>
    </row>
    <row r="423" spans="1:23" ht="13.5" thickBot="1" x14ac:dyDescent="0.25">
      <c r="A423" s="1112"/>
      <c r="B423" s="161"/>
      <c r="C423" s="109"/>
      <c r="D423" s="100"/>
      <c r="E423" s="256"/>
      <c r="F423" s="257">
        <f>SUM(E404:E423)</f>
        <v>23611</v>
      </c>
      <c r="H423" s="43" t="s">
        <v>267</v>
      </c>
      <c r="I423" s="302" t="str">
        <f t="shared" si="281"/>
        <v/>
      </c>
      <c r="J423" s="302" t="str">
        <f t="shared" si="282"/>
        <v/>
      </c>
      <c r="K423" s="302" t="str">
        <f t="shared" si="282"/>
        <v/>
      </c>
      <c r="L423" s="302" t="str">
        <f t="shared" si="283"/>
        <v/>
      </c>
      <c r="M423" s="302" t="str">
        <f t="shared" si="284"/>
        <v/>
      </c>
      <c r="N423" s="302" t="str">
        <f t="shared" si="285"/>
        <v/>
      </c>
      <c r="O423" s="302" t="str">
        <f t="shared" si="286"/>
        <v/>
      </c>
      <c r="P423" s="302" t="str">
        <f t="shared" si="287"/>
        <v/>
      </c>
      <c r="Q423" s="302" t="str">
        <f t="shared" si="287"/>
        <v/>
      </c>
      <c r="R423" s="302" t="str">
        <f t="shared" si="288"/>
        <v/>
      </c>
      <c r="S423" s="302" t="str">
        <f t="shared" si="289"/>
        <v/>
      </c>
      <c r="T423" s="302" t="str">
        <f t="shared" si="289"/>
        <v/>
      </c>
      <c r="U423" s="303">
        <f t="shared" si="290"/>
        <v>0</v>
      </c>
      <c r="V423" s="214">
        <f t="shared" si="291"/>
        <v>0</v>
      </c>
      <c r="W423" s="322">
        <f t="shared" si="292"/>
        <v>0</v>
      </c>
    </row>
    <row r="424" spans="1:23" ht="13.5" thickBot="1" x14ac:dyDescent="0.25">
      <c r="A424" s="8"/>
      <c r="B424" s="118"/>
      <c r="C424" s="106"/>
      <c r="D424" s="107"/>
      <c r="E424" s="267"/>
      <c r="F424" s="268"/>
      <c r="I424" s="306"/>
      <c r="J424" s="306"/>
      <c r="K424" s="306"/>
      <c r="L424" s="306"/>
      <c r="M424" s="306"/>
      <c r="N424" s="306"/>
      <c r="O424" s="306"/>
      <c r="P424" s="306"/>
      <c r="Q424" s="306"/>
      <c r="R424" s="306"/>
      <c r="S424" s="306"/>
      <c r="T424" s="306"/>
      <c r="U424" s="305"/>
      <c r="W424" s="322"/>
    </row>
    <row r="425" spans="1:23" x14ac:dyDescent="0.2">
      <c r="A425" s="921" t="s">
        <v>675</v>
      </c>
      <c r="B425" s="156">
        <v>4202</v>
      </c>
      <c r="C425" s="113" t="s">
        <v>677</v>
      </c>
      <c r="D425" s="1008" t="s">
        <v>1079</v>
      </c>
      <c r="E425" s="261">
        <v>2827</v>
      </c>
      <c r="F425" s="271"/>
      <c r="H425" s="43" t="s">
        <v>291</v>
      </c>
      <c r="I425" s="302" t="str">
        <f>IF($H425="Monthly",$E425/12,IF($H425="Quarterly (From April)",$E425/4,IF($H425="Termly",$E425/3,IF($H425="Monthly (excl. August)",$E425/11,""))))</f>
        <v/>
      </c>
      <c r="J425" s="302" t="str">
        <f t="shared" ref="J425:K427" si="295">IF($H425="Monthly",$E425/12,IF($H425="Quarterly (From April)",0,IF($H425="Termly",0,IF($H425="Monthly (excl. August)",$E425/11,""))))</f>
        <v/>
      </c>
      <c r="K425" s="302" t="str">
        <f t="shared" si="295"/>
        <v/>
      </c>
      <c r="L425" s="302" t="str">
        <f>IF($H425="Monthly",$E425/12,IF($H425="Quarterly (From April)",$E425/4,IF($H425="Termly",0,IF($H425="Monthly (excl. August)",$E425/11,""))))</f>
        <v/>
      </c>
      <c r="M425" s="302">
        <v>2827</v>
      </c>
      <c r="N425" s="302" t="str">
        <f>IF($H425="Monthly",$E425/12,IF($H425="Quarterly (From April)",0,IF($H425="Termly",$E425/3,IF($H425="Monthly (excl. August)",$E425/11,""))))</f>
        <v/>
      </c>
      <c r="O425" s="302" t="str">
        <f>IF($H425="Monthly",$E425/12,IF($H425="Quarterly (From April)",$E425/4,IF($H425="Termly",0,IF($H425="Monthly (excl. August)",$E425/11,""))))</f>
        <v/>
      </c>
      <c r="P425" s="302" t="str">
        <f t="shared" ref="P425:Q427" si="296">IF($H425="Monthly",$E425/12,IF($H425="Quarterly (From April)",0,IF($H425="Termly",0,IF($H425="Monthly (excl. August)",$E425/11,""))))</f>
        <v/>
      </c>
      <c r="Q425" s="302" t="str">
        <f t="shared" si="296"/>
        <v/>
      </c>
      <c r="R425" s="302" t="str">
        <f>IF($H425="Monthly",$E425/12,IF($H425="Quarterly (From April)",$E425/4,IF($H425="Termly",$E425/3,IF($H425="Monthly (excl. August)",$E425/11,""))))</f>
        <v/>
      </c>
      <c r="S425" s="302" t="str">
        <f t="shared" ref="S425:T427" si="297">IF($H425="Monthly",$E425/12,IF($H425="Quarterly (From April)",0,IF($H425="Termly",0,IF($H425="Monthly (excl. August)",$E425/11,""))))</f>
        <v/>
      </c>
      <c r="T425" s="302" t="str">
        <f t="shared" si="297"/>
        <v/>
      </c>
      <c r="U425" s="303">
        <f>E425</f>
        <v>2827</v>
      </c>
      <c r="V425" s="214">
        <f>IF(ROUND(SUM(I425:T425),0)&gt;U425,1,IF(ROUND(SUM(I425:T425),0)&lt;U425,1,0))</f>
        <v>0</v>
      </c>
      <c r="W425" s="322">
        <f>ROUND(SUM(I425:T425)-U425,0)</f>
        <v>0</v>
      </c>
    </row>
    <row r="426" spans="1:23" x14ac:dyDescent="0.2">
      <c r="A426" s="1105"/>
      <c r="B426" s="160">
        <v>3206</v>
      </c>
      <c r="C426" s="108" t="s">
        <v>760</v>
      </c>
      <c r="D426" s="95"/>
      <c r="E426" s="250"/>
      <c r="F426" s="273"/>
      <c r="H426" s="43" t="s">
        <v>267</v>
      </c>
      <c r="I426" s="302" t="str">
        <f>IF($H426="Monthly",$E426/12,IF($H426="Quarterly (From April)",$E426/4,IF($H426="Termly",$E426/3,IF($H426="Monthly (excl. August)",$E426/11,""))))</f>
        <v/>
      </c>
      <c r="J426" s="302" t="str">
        <f t="shared" si="295"/>
        <v/>
      </c>
      <c r="K426" s="302" t="str">
        <f t="shared" si="295"/>
        <v/>
      </c>
      <c r="L426" s="302" t="str">
        <f>IF($H426="Monthly",$E426/12,IF($H426="Quarterly (From April)",$E426/4,IF($H426="Termly",0,IF($H426="Monthly (excl. August)",$E426/11,""))))</f>
        <v/>
      </c>
      <c r="M426" s="302" t="str">
        <f>IF($H426="Monthly",$E426/12,IF($H426="Quarterly (From April)",0,IF($H426="Termly",0,IF($H426="Monthly (excl. August)",0,""))))</f>
        <v/>
      </c>
      <c r="N426" s="302" t="str">
        <f>IF($H426="Monthly",$E426/12,IF($H426="Quarterly (From April)",0,IF($H426="Termly",$E426/3,IF($H426="Monthly (excl. August)",$E426/11,""))))</f>
        <v/>
      </c>
      <c r="O426" s="302" t="str">
        <f>IF($H426="Monthly",$E426/12,IF($H426="Quarterly (From April)",$E426/4,IF($H426="Termly",0,IF($H426="Monthly (excl. August)",$E426/11,""))))</f>
        <v/>
      </c>
      <c r="P426" s="302" t="str">
        <f t="shared" si="296"/>
        <v/>
      </c>
      <c r="Q426" s="302" t="str">
        <f t="shared" si="296"/>
        <v/>
      </c>
      <c r="R426" s="302" t="str">
        <f>IF($H426="Monthly",$E426/12,IF($H426="Quarterly (From April)",$E426/4,IF($H426="Termly",$E426/3,IF($H426="Monthly (excl. August)",$E426/11,""))))</f>
        <v/>
      </c>
      <c r="S426" s="302" t="str">
        <f t="shared" si="297"/>
        <v/>
      </c>
      <c r="T426" s="302" t="str">
        <f t="shared" si="297"/>
        <v/>
      </c>
      <c r="U426" s="303">
        <f>E426</f>
        <v>0</v>
      </c>
      <c r="V426" s="214">
        <f>IF(ROUND(SUM(I426:T426),0)&gt;U426,1,IF(ROUND(SUM(I426:T426),0)&lt;U426,1,0))</f>
        <v>0</v>
      </c>
      <c r="W426" s="322">
        <f>ROUND(SUM(I426:T426)-U426,0)</f>
        <v>0</v>
      </c>
    </row>
    <row r="427" spans="1:23" ht="13.5" thickBot="1" x14ac:dyDescent="0.25">
      <c r="A427" s="1104"/>
      <c r="B427" s="165"/>
      <c r="C427" s="166"/>
      <c r="D427" s="105"/>
      <c r="E427" s="265"/>
      <c r="F427" s="275">
        <f>SUM(E425:E427)</f>
        <v>2827</v>
      </c>
      <c r="H427" s="43" t="s">
        <v>267</v>
      </c>
      <c r="I427" s="302" t="str">
        <f>IF($H427="Monthly",$E427/12,IF($H427="Quarterly (From April)",$E427/4,IF($H427="Termly",$E427/3,IF($H427="Monthly (excl. August)",$E427/11,""))))</f>
        <v/>
      </c>
      <c r="J427" s="302" t="str">
        <f t="shared" si="295"/>
        <v/>
      </c>
      <c r="K427" s="302" t="str">
        <f t="shared" si="295"/>
        <v/>
      </c>
      <c r="L427" s="302" t="str">
        <f>IF($H427="Monthly",$E427/12,IF($H427="Quarterly (From April)",$E427/4,IF($H427="Termly",0,IF($H427="Monthly (excl. August)",$E427/11,""))))</f>
        <v/>
      </c>
      <c r="M427" s="302" t="str">
        <f>IF($H427="Monthly",$E427/12,IF($H427="Quarterly (From April)",0,IF($H427="Termly",0,IF($H427="Monthly (excl. August)",0,""))))</f>
        <v/>
      </c>
      <c r="N427" s="302" t="str">
        <f>IF($H427="Monthly",$E427/12,IF($H427="Quarterly (From April)",0,IF($H427="Termly",$E427/3,IF($H427="Monthly (excl. August)",$E427/11,""))))</f>
        <v/>
      </c>
      <c r="O427" s="302" t="str">
        <f>IF($H427="Monthly",$E427/12,IF($H427="Quarterly (From April)",$E427/4,IF($H427="Termly",0,IF($H427="Monthly (excl. August)",$E427/11,""))))</f>
        <v/>
      </c>
      <c r="P427" s="302" t="str">
        <f t="shared" si="296"/>
        <v/>
      </c>
      <c r="Q427" s="302" t="str">
        <f t="shared" si="296"/>
        <v/>
      </c>
      <c r="R427" s="302" t="str">
        <f>IF($H427="Monthly",$E427/12,IF($H427="Quarterly (From April)",$E427/4,IF($H427="Termly",$E427/3,IF($H427="Monthly (excl. August)",$E427/11,""))))</f>
        <v/>
      </c>
      <c r="S427" s="302" t="str">
        <f t="shared" si="297"/>
        <v/>
      </c>
      <c r="T427" s="302" t="str">
        <f t="shared" si="297"/>
        <v/>
      </c>
      <c r="U427" s="303">
        <f>E427</f>
        <v>0</v>
      </c>
      <c r="V427" s="214">
        <f>IF(ROUND(SUM(I427:T427),0)&gt;U427,1,IF(ROUND(SUM(I427:T427),0)&lt;U427,1,0))</f>
        <v>0</v>
      </c>
      <c r="W427" s="322">
        <f>ROUND(SUM(I427:T427)-U427,0)</f>
        <v>0</v>
      </c>
    </row>
    <row r="428" spans="1:23" ht="13.5" thickBot="1" x14ac:dyDescent="0.25">
      <c r="A428" s="13"/>
      <c r="B428" s="118"/>
      <c r="C428" s="106"/>
      <c r="D428" s="107"/>
      <c r="E428" s="267"/>
      <c r="F428" s="268"/>
      <c r="I428" s="306"/>
      <c r="J428" s="306"/>
      <c r="K428" s="306"/>
      <c r="L428" s="306"/>
      <c r="M428" s="306"/>
      <c r="N428" s="306"/>
      <c r="O428" s="306"/>
      <c r="P428" s="306"/>
      <c r="Q428" s="306"/>
      <c r="R428" s="306"/>
      <c r="S428" s="306"/>
      <c r="T428" s="306"/>
      <c r="U428" s="305"/>
      <c r="W428" s="322">
        <f>ROUND(SUM(I428:T428)-U428,0)</f>
        <v>0</v>
      </c>
    </row>
    <row r="429" spans="1:23" ht="13.5" thickBot="1" x14ac:dyDescent="0.25">
      <c r="A429" s="191" t="s">
        <v>517</v>
      </c>
      <c r="B429" s="167">
        <v>4118</v>
      </c>
      <c r="C429" s="168" t="s">
        <v>676</v>
      </c>
      <c r="D429" s="112"/>
      <c r="E429" s="276">
        <v>100</v>
      </c>
      <c r="F429" s="270">
        <f>SUM(E429:E429)</f>
        <v>100</v>
      </c>
      <c r="H429" s="43" t="s">
        <v>293</v>
      </c>
      <c r="I429" s="302">
        <f>IF($H429="Monthly",$E429/12,IF($H429="Quarterly (From April)",$E429/4,IF($H429="Termly",$E429/3,IF($H429="Monthly (excl. August)",$E429/11,""))))</f>
        <v>33.333333333333336</v>
      </c>
      <c r="J429" s="302">
        <f>IF($H429="Monthly",$E429/12,IF($H429="Quarterly (From April)",0,IF($H429="Termly",0,IF($H429="Monthly (excl. August)",$E429/11,""))))</f>
        <v>0</v>
      </c>
      <c r="K429" s="302">
        <f>IF($H429="Monthly",$E429/12,IF($H429="Quarterly (From April)",0,IF($H429="Termly",0,IF($H429="Monthly (excl. August)",$E429/11,""))))</f>
        <v>0</v>
      </c>
      <c r="L429" s="302">
        <f>IF($H429="Monthly",$E429/12,IF($H429="Quarterly (From April)",$E429/4,IF($H429="Termly",0,IF($H429="Monthly (excl. August)",$E429/11,""))))</f>
        <v>0</v>
      </c>
      <c r="M429" s="302">
        <f>IF($H429="Monthly",$E429/12,IF($H429="Quarterly (From April)",0,IF($H429="Termly",0,IF($H429="Monthly (excl. August)",0,""))))</f>
        <v>0</v>
      </c>
      <c r="N429" s="302">
        <f>IF($H429="Monthly",$E429/12,IF($H429="Quarterly (From April)",0,IF($H429="Termly",$E429/3,IF($H429="Monthly (excl. August)",$E429/11,""))))</f>
        <v>33.333333333333336</v>
      </c>
      <c r="O429" s="302">
        <f>IF($H429="Monthly",$E429/12,IF($H429="Quarterly (From April)",$E429/4,IF($H429="Termly",0,IF($H429="Monthly (excl. August)",$E429/11,""))))</f>
        <v>0</v>
      </c>
      <c r="P429" s="302">
        <f>IF($H429="Monthly",$E429/12,IF($H429="Quarterly (From April)",0,IF($H429="Termly",0,IF($H429="Monthly (excl. August)",$E429/11,""))))</f>
        <v>0</v>
      </c>
      <c r="Q429" s="302">
        <f>IF($H429="Monthly",$E429/12,IF($H429="Quarterly (From April)",0,IF($H429="Termly",0,IF($H429="Monthly (excl. August)",$E429/11,""))))</f>
        <v>0</v>
      </c>
      <c r="R429" s="302">
        <f>IF($H429="Monthly",$E429/12,IF($H429="Quarterly (From April)",$E429/4,IF($H429="Termly",$E429/3,IF($H429="Monthly (excl. August)",$E429/11,""))))</f>
        <v>33.333333333333336</v>
      </c>
      <c r="S429" s="302">
        <f>IF($H429="Monthly",$E429/12,IF($H429="Quarterly (From April)",0,IF($H429="Termly",0,IF($H429="Monthly (excl. August)",$E429/11,""))))</f>
        <v>0</v>
      </c>
      <c r="T429" s="302">
        <f>IF($H429="Monthly",$E429/12,IF($H429="Quarterly (From April)",0,IF($H429="Termly",0,IF($H429="Monthly (excl. August)",$E429/11,""))))</f>
        <v>0</v>
      </c>
      <c r="U429" s="303">
        <f>E429</f>
        <v>100</v>
      </c>
      <c r="V429" s="214">
        <f>IF(ROUND(SUM(I429:T429),0)&gt;U429,1,IF(ROUND(SUM(I429:T429),0)&lt;U429,1,0))</f>
        <v>0</v>
      </c>
      <c r="W429" s="322">
        <f>ROUND(SUM(I429:T429)-U429,0)</f>
        <v>0</v>
      </c>
    </row>
    <row r="430" spans="1:23" ht="13.5" thickBot="1" x14ac:dyDescent="0.25">
      <c r="A430" s="8"/>
      <c r="B430" s="118"/>
      <c r="C430" s="106"/>
      <c r="D430" s="107"/>
      <c r="E430" s="267"/>
      <c r="F430" s="268"/>
      <c r="I430" s="306"/>
      <c r="J430" s="306"/>
      <c r="K430" s="306"/>
      <c r="L430" s="306"/>
      <c r="M430" s="306"/>
      <c r="N430" s="306"/>
      <c r="O430" s="306"/>
      <c r="P430" s="306"/>
      <c r="Q430" s="306"/>
      <c r="R430" s="306"/>
      <c r="S430" s="306"/>
      <c r="T430" s="306"/>
      <c r="U430" s="305"/>
      <c r="W430" s="322"/>
    </row>
    <row r="431" spans="1:23" x14ac:dyDescent="0.2">
      <c r="A431" s="921" t="s">
        <v>518</v>
      </c>
      <c r="B431" s="156">
        <v>6334</v>
      </c>
      <c r="C431" s="113" t="s">
        <v>519</v>
      </c>
      <c r="D431" s="93"/>
      <c r="E431" s="246"/>
      <c r="F431" s="247"/>
      <c r="H431" s="43" t="s">
        <v>267</v>
      </c>
      <c r="I431" s="302" t="str">
        <f t="shared" ref="I431:I436" si="298">IF($H431="Monthly",$E431/12,IF($H431="Quarterly (From April)",$E431/4,IF($H431="Termly",$E431/3,IF($H431="Monthly (excl. August)",$E431/11,""))))</f>
        <v/>
      </c>
      <c r="J431" s="302" t="str">
        <f t="shared" ref="J431:K436" si="299">IF($H431="Monthly",$E431/12,IF($H431="Quarterly (From April)",0,IF($H431="Termly",0,IF($H431="Monthly (excl. August)",$E431/11,""))))</f>
        <v/>
      </c>
      <c r="K431" s="302" t="str">
        <f t="shared" si="299"/>
        <v/>
      </c>
      <c r="L431" s="302" t="str">
        <f t="shared" ref="L431:L436" si="300">IF($H431="Monthly",$E431/12,IF($H431="Quarterly (From April)",$E431/4,IF($H431="Termly",0,IF($H431="Monthly (excl. August)",$E431/11,""))))</f>
        <v/>
      </c>
      <c r="M431" s="302" t="str">
        <f t="shared" ref="M431:M436" si="301">IF($H431="Monthly",$E431/12,IF($H431="Quarterly (From April)",0,IF($H431="Termly",0,IF($H431="Monthly (excl. August)",0,""))))</f>
        <v/>
      </c>
      <c r="N431" s="302" t="str">
        <f t="shared" ref="N431:N436" si="302">IF($H431="Monthly",$E431/12,IF($H431="Quarterly (From April)",0,IF($H431="Termly",$E431/3,IF($H431="Monthly (excl. August)",$E431/11,""))))</f>
        <v/>
      </c>
      <c r="O431" s="302" t="str">
        <f t="shared" ref="O431:O436" si="303">IF($H431="Monthly",$E431/12,IF($H431="Quarterly (From April)",$E431/4,IF($H431="Termly",0,IF($H431="Monthly (excl. August)",$E431/11,""))))</f>
        <v/>
      </c>
      <c r="P431" s="302" t="str">
        <f t="shared" ref="P431:Q436" si="304">IF($H431="Monthly",$E431/12,IF($H431="Quarterly (From April)",0,IF($H431="Termly",0,IF($H431="Monthly (excl. August)",$E431/11,""))))</f>
        <v/>
      </c>
      <c r="Q431" s="302" t="str">
        <f t="shared" si="304"/>
        <v/>
      </c>
      <c r="R431" s="302" t="str">
        <f t="shared" ref="R431:R436" si="305">IF($H431="Monthly",$E431/12,IF($H431="Quarterly (From April)",$E431/4,IF($H431="Termly",$E431/3,IF($H431="Monthly (excl. August)",$E431/11,""))))</f>
        <v/>
      </c>
      <c r="S431" s="302" t="str">
        <f t="shared" ref="S431:T436" si="306">IF($H431="Monthly",$E431/12,IF($H431="Quarterly (From April)",0,IF($H431="Termly",0,IF($H431="Monthly (excl. August)",$E431/11,""))))</f>
        <v/>
      </c>
      <c r="T431" s="302" t="str">
        <f t="shared" si="306"/>
        <v/>
      </c>
      <c r="U431" s="303">
        <f t="shared" ref="U431:U436" si="307">E431</f>
        <v>0</v>
      </c>
      <c r="V431" s="214">
        <f t="shared" ref="V431:V436" si="308">IF(ROUND(SUM(I431:T431),0)&gt;U431,1,IF(ROUND(SUM(I431:T431),0)&lt;U431,1,0))</f>
        <v>0</v>
      </c>
      <c r="W431" s="322">
        <f t="shared" ref="W431:W436" si="309">ROUND(SUM(I431:T431)-U431,0)</f>
        <v>0</v>
      </c>
    </row>
    <row r="432" spans="1:23" x14ac:dyDescent="0.2">
      <c r="A432" s="1117"/>
      <c r="B432" s="157">
        <v>6811</v>
      </c>
      <c r="C432" s="108" t="s">
        <v>520</v>
      </c>
      <c r="D432" s="95"/>
      <c r="E432" s="250"/>
      <c r="F432" s="251"/>
      <c r="H432" s="43" t="s">
        <v>267</v>
      </c>
      <c r="I432" s="302" t="str">
        <f t="shared" si="298"/>
        <v/>
      </c>
      <c r="J432" s="302" t="str">
        <f t="shared" si="299"/>
        <v/>
      </c>
      <c r="K432" s="302" t="str">
        <f t="shared" si="299"/>
        <v/>
      </c>
      <c r="L432" s="302" t="str">
        <f t="shared" si="300"/>
        <v/>
      </c>
      <c r="M432" s="302" t="str">
        <f t="shared" si="301"/>
        <v/>
      </c>
      <c r="N432" s="302" t="str">
        <f t="shared" si="302"/>
        <v/>
      </c>
      <c r="O432" s="302" t="str">
        <f t="shared" si="303"/>
        <v/>
      </c>
      <c r="P432" s="302" t="str">
        <f t="shared" si="304"/>
        <v/>
      </c>
      <c r="Q432" s="302" t="str">
        <f t="shared" si="304"/>
        <v/>
      </c>
      <c r="R432" s="302" t="str">
        <f t="shared" si="305"/>
        <v/>
      </c>
      <c r="S432" s="302" t="str">
        <f t="shared" si="306"/>
        <v/>
      </c>
      <c r="T432" s="302" t="str">
        <f t="shared" si="306"/>
        <v/>
      </c>
      <c r="U432" s="303">
        <f t="shared" si="307"/>
        <v>0</v>
      </c>
      <c r="V432" s="214">
        <f t="shared" si="308"/>
        <v>0</v>
      </c>
      <c r="W432" s="322">
        <f t="shared" si="309"/>
        <v>0</v>
      </c>
    </row>
    <row r="433" spans="1:23" x14ac:dyDescent="0.2">
      <c r="A433" s="1103"/>
      <c r="B433" s="157">
        <v>6831</v>
      </c>
      <c r="C433" s="108" t="s">
        <v>521</v>
      </c>
      <c r="D433" s="95"/>
      <c r="E433" s="250"/>
      <c r="F433" s="251"/>
      <c r="H433" s="43" t="s">
        <v>267</v>
      </c>
      <c r="I433" s="302" t="str">
        <f t="shared" si="298"/>
        <v/>
      </c>
      <c r="J433" s="302" t="str">
        <f t="shared" si="299"/>
        <v/>
      </c>
      <c r="K433" s="302" t="str">
        <f t="shared" si="299"/>
        <v/>
      </c>
      <c r="L433" s="302" t="str">
        <f t="shared" si="300"/>
        <v/>
      </c>
      <c r="M433" s="302" t="str">
        <f t="shared" si="301"/>
        <v/>
      </c>
      <c r="N433" s="302" t="str">
        <f t="shared" si="302"/>
        <v/>
      </c>
      <c r="O433" s="302" t="str">
        <f t="shared" si="303"/>
        <v/>
      </c>
      <c r="P433" s="302" t="str">
        <f t="shared" si="304"/>
        <v/>
      </c>
      <c r="Q433" s="302" t="str">
        <f t="shared" si="304"/>
        <v/>
      </c>
      <c r="R433" s="302" t="str">
        <f t="shared" si="305"/>
        <v/>
      </c>
      <c r="S433" s="302" t="str">
        <f t="shared" si="306"/>
        <v/>
      </c>
      <c r="T433" s="302" t="str">
        <f t="shared" si="306"/>
        <v/>
      </c>
      <c r="U433" s="303">
        <f t="shared" si="307"/>
        <v>0</v>
      </c>
      <c r="V433" s="214">
        <f t="shared" si="308"/>
        <v>0</v>
      </c>
      <c r="W433" s="322">
        <f t="shared" si="309"/>
        <v>0</v>
      </c>
    </row>
    <row r="434" spans="1:23" x14ac:dyDescent="0.2">
      <c r="A434" s="1103"/>
      <c r="B434" s="157">
        <v>2977</v>
      </c>
      <c r="C434" s="108" t="s">
        <v>1055</v>
      </c>
      <c r="D434" s="417" t="s">
        <v>1057</v>
      </c>
      <c r="E434" s="250">
        <v>2973</v>
      </c>
      <c r="F434" s="251"/>
      <c r="H434" s="43" t="s">
        <v>291</v>
      </c>
      <c r="I434" s="302" t="str">
        <f t="shared" si="298"/>
        <v/>
      </c>
      <c r="J434" s="302" t="str">
        <f t="shared" si="299"/>
        <v/>
      </c>
      <c r="K434" s="302" t="str">
        <f t="shared" si="299"/>
        <v/>
      </c>
      <c r="L434" s="302" t="str">
        <f t="shared" si="300"/>
        <v/>
      </c>
      <c r="M434" s="302" t="str">
        <f t="shared" si="301"/>
        <v/>
      </c>
      <c r="N434" s="302" t="str">
        <f t="shared" si="302"/>
        <v/>
      </c>
      <c r="O434" s="302" t="str">
        <f t="shared" si="303"/>
        <v/>
      </c>
      <c r="P434" s="302" t="str">
        <f t="shared" si="304"/>
        <v/>
      </c>
      <c r="Q434" s="302" t="str">
        <f t="shared" si="304"/>
        <v/>
      </c>
      <c r="R434" s="302" t="str">
        <f t="shared" si="305"/>
        <v/>
      </c>
      <c r="S434" s="302">
        <v>2973</v>
      </c>
      <c r="T434" s="302" t="str">
        <f t="shared" si="306"/>
        <v/>
      </c>
      <c r="U434" s="303">
        <f t="shared" si="307"/>
        <v>2973</v>
      </c>
      <c r="V434" s="214">
        <f t="shared" si="308"/>
        <v>0</v>
      </c>
      <c r="W434" s="322">
        <f t="shared" si="309"/>
        <v>0</v>
      </c>
    </row>
    <row r="435" spans="1:23" x14ac:dyDescent="0.2">
      <c r="A435" s="1103"/>
      <c r="B435" s="159">
        <v>8288</v>
      </c>
      <c r="C435" s="154" t="s">
        <v>522</v>
      </c>
      <c r="D435" s="315"/>
      <c r="E435" s="314"/>
      <c r="F435" s="251"/>
      <c r="H435" s="43" t="s">
        <v>267</v>
      </c>
      <c r="I435" s="302" t="str">
        <f t="shared" si="298"/>
        <v/>
      </c>
      <c r="J435" s="302" t="str">
        <f t="shared" si="299"/>
        <v/>
      </c>
      <c r="K435" s="302" t="str">
        <f t="shared" si="299"/>
        <v/>
      </c>
      <c r="L435" s="302" t="str">
        <f t="shared" si="300"/>
        <v/>
      </c>
      <c r="M435" s="302" t="str">
        <f t="shared" si="301"/>
        <v/>
      </c>
      <c r="N435" s="302" t="str">
        <f t="shared" si="302"/>
        <v/>
      </c>
      <c r="O435" s="302" t="str">
        <f t="shared" si="303"/>
        <v/>
      </c>
      <c r="P435" s="302" t="str">
        <f t="shared" si="304"/>
        <v/>
      </c>
      <c r="Q435" s="302" t="str">
        <f t="shared" si="304"/>
        <v/>
      </c>
      <c r="R435" s="302" t="str">
        <f t="shared" si="305"/>
        <v/>
      </c>
      <c r="S435" s="302" t="str">
        <f t="shared" si="306"/>
        <v/>
      </c>
      <c r="T435" s="302" t="str">
        <f t="shared" si="306"/>
        <v/>
      </c>
      <c r="U435" s="303">
        <f t="shared" si="307"/>
        <v>0</v>
      </c>
      <c r="V435" s="214">
        <f t="shared" si="308"/>
        <v>0</v>
      </c>
      <c r="W435" s="322">
        <f t="shared" si="309"/>
        <v>0</v>
      </c>
    </row>
    <row r="436" spans="1:23" ht="13.5" thickBot="1" x14ac:dyDescent="0.25">
      <c r="A436" s="1104"/>
      <c r="B436" s="142">
        <v>8124</v>
      </c>
      <c r="C436" s="144" t="s">
        <v>523</v>
      </c>
      <c r="D436" s="310"/>
      <c r="E436" s="309"/>
      <c r="F436" s="257">
        <f>SUM(E431:E436)</f>
        <v>2973</v>
      </c>
      <c r="H436" s="43" t="s">
        <v>267</v>
      </c>
      <c r="I436" s="302" t="str">
        <f t="shared" si="298"/>
        <v/>
      </c>
      <c r="J436" s="302" t="str">
        <f t="shared" si="299"/>
        <v/>
      </c>
      <c r="K436" s="302" t="str">
        <f t="shared" si="299"/>
        <v/>
      </c>
      <c r="L436" s="302" t="str">
        <f t="shared" si="300"/>
        <v/>
      </c>
      <c r="M436" s="302" t="str">
        <f t="shared" si="301"/>
        <v/>
      </c>
      <c r="N436" s="302" t="str">
        <f t="shared" si="302"/>
        <v/>
      </c>
      <c r="O436" s="302" t="str">
        <f t="shared" si="303"/>
        <v/>
      </c>
      <c r="P436" s="302" t="str">
        <f t="shared" si="304"/>
        <v/>
      </c>
      <c r="Q436" s="302" t="str">
        <f t="shared" si="304"/>
        <v/>
      </c>
      <c r="R436" s="302" t="str">
        <f t="shared" si="305"/>
        <v/>
      </c>
      <c r="S436" s="302" t="str">
        <f t="shared" si="306"/>
        <v/>
      </c>
      <c r="T436" s="302" t="str">
        <f t="shared" si="306"/>
        <v/>
      </c>
      <c r="U436" s="303">
        <f t="shared" si="307"/>
        <v>0</v>
      </c>
      <c r="V436" s="214">
        <f t="shared" si="308"/>
        <v>0</v>
      </c>
      <c r="W436" s="322">
        <f t="shared" si="309"/>
        <v>0</v>
      </c>
    </row>
    <row r="437" spans="1:23" ht="13.5" thickBot="1" x14ac:dyDescent="0.25">
      <c r="A437" s="8"/>
      <c r="B437" s="118"/>
      <c r="C437" s="106"/>
      <c r="D437" s="107"/>
      <c r="E437" s="267"/>
      <c r="F437" s="268"/>
      <c r="I437" s="306"/>
      <c r="J437" s="306"/>
      <c r="K437" s="306"/>
      <c r="L437" s="306"/>
      <c r="M437" s="306"/>
      <c r="N437" s="306"/>
      <c r="O437" s="306"/>
      <c r="P437" s="306"/>
      <c r="Q437" s="306"/>
      <c r="R437" s="306"/>
      <c r="S437" s="306"/>
      <c r="T437" s="306"/>
      <c r="U437" s="305"/>
      <c r="W437" s="322"/>
    </row>
    <row r="438" spans="1:23" x14ac:dyDescent="0.2">
      <c r="A438" s="921" t="s">
        <v>524</v>
      </c>
      <c r="B438" s="156">
        <v>2121</v>
      </c>
      <c r="C438" s="113" t="s">
        <v>525</v>
      </c>
      <c r="D438" s="93"/>
      <c r="E438" s="246"/>
      <c r="F438" s="247"/>
      <c r="H438" s="43" t="s">
        <v>267</v>
      </c>
      <c r="I438" s="302" t="str">
        <f>IF($H438="Monthly",$E438/12,IF($H438="Quarterly (From April)",$E438/4,IF($H438="Termly",$E438/3,IF($H438="Monthly (excl. August)",$E438/11,""))))</f>
        <v/>
      </c>
      <c r="J438" s="302" t="str">
        <f>IF($H438="Monthly",$E438/12,IF($H438="Quarterly (From April)",0,IF($H438="Termly",0,IF($H438="Monthly (excl. August)",$E438/11,""))))</f>
        <v/>
      </c>
      <c r="K438" s="302" t="str">
        <f>IF($H438="Monthly",$E438/12,IF($H438="Quarterly (From April)",0,IF($H438="Termly",0,IF($H438="Monthly (excl. August)",$E438/11,""))))</f>
        <v/>
      </c>
      <c r="L438" s="302" t="str">
        <f>IF($H438="Monthly",$E438/12,IF($H438="Quarterly (From April)",$E438/4,IF($H438="Termly",0,IF($H438="Monthly (excl. August)",$E438/11,""))))</f>
        <v/>
      </c>
      <c r="M438" s="302" t="str">
        <f>IF($H438="Monthly",$E438/12,IF($H438="Quarterly (From April)",0,IF($H438="Termly",0,IF($H438="Monthly (excl. August)",0,""))))</f>
        <v/>
      </c>
      <c r="N438" s="302" t="str">
        <f>IF($H438="Monthly",$E438/12,IF($H438="Quarterly (From April)",0,IF($H438="Termly",$E438/3,IF($H438="Monthly (excl. August)",$E438/11,""))))</f>
        <v/>
      </c>
      <c r="O438" s="302" t="str">
        <f>IF($H438="Monthly",$E438/12,IF($H438="Quarterly (From April)",$E438/4,IF($H438="Termly",0,IF($H438="Monthly (excl. August)",$E438/11,""))))</f>
        <v/>
      </c>
      <c r="P438" s="302" t="str">
        <f>IF($H438="Monthly",$E438/12,IF($H438="Quarterly (From April)",0,IF($H438="Termly",0,IF($H438="Monthly (excl. August)",$E438/11,""))))</f>
        <v/>
      </c>
      <c r="Q438" s="302" t="str">
        <f>IF($H438="Monthly",$E438/12,IF($H438="Quarterly (From April)",0,IF($H438="Termly",0,IF($H438="Monthly (excl. August)",$E438/11,""))))</f>
        <v/>
      </c>
      <c r="R438" s="302" t="str">
        <f>IF($H438="Monthly",$E438/12,IF($H438="Quarterly (From April)",$E438/4,IF($H438="Termly",$E438/3,IF($H438="Monthly (excl. August)",$E438/11,""))))</f>
        <v/>
      </c>
      <c r="S438" s="302" t="str">
        <f>IF($H438="Monthly",$E438/12,IF($H438="Quarterly (From April)",0,IF($H438="Termly",0,IF($H438="Monthly (excl. August)",$E438/11,""))))</f>
        <v/>
      </c>
      <c r="T438" s="302" t="str">
        <f>IF($H438="Monthly",$E438/12,IF($H438="Quarterly (From April)",0,IF($H438="Termly",0,IF($H438="Monthly (excl. August)",$E438/11,""))))</f>
        <v/>
      </c>
      <c r="U438" s="303">
        <f>E438</f>
        <v>0</v>
      </c>
      <c r="V438" s="214">
        <f>IF(ROUND(SUM(I438:T438),0)&gt;U438,1,IF(ROUND(SUM(I438:T438),0)&lt;U438,1,0))</f>
        <v>0</v>
      </c>
      <c r="W438" s="322">
        <f>ROUND(SUM(I438:T438)-U438,0)</f>
        <v>0</v>
      </c>
    </row>
    <row r="439" spans="1:23" ht="13.5" thickBot="1" x14ac:dyDescent="0.25">
      <c r="A439" s="192"/>
      <c r="B439" s="158">
        <v>2993</v>
      </c>
      <c r="C439" s="109" t="s">
        <v>526</v>
      </c>
      <c r="D439" s="100"/>
      <c r="E439" s="256"/>
      <c r="F439" s="257">
        <f>SUM(E438:E439)</f>
        <v>0</v>
      </c>
      <c r="H439" s="43" t="s">
        <v>267</v>
      </c>
      <c r="I439" s="302" t="str">
        <f>IF($H439="Monthly",$E439/12,IF($H439="Quarterly (From April)",$E439/4,IF($H439="Termly",$E439/3,IF($H439="Monthly (excl. August)",$E439/11,""))))</f>
        <v/>
      </c>
      <c r="J439" s="302" t="str">
        <f>IF($H439="Monthly",$E439/12,IF($H439="Quarterly (From April)",0,IF($H439="Termly",0,IF($H439="Monthly (excl. August)",$E439/11,""))))</f>
        <v/>
      </c>
      <c r="K439" s="302" t="str">
        <f>IF($H439="Monthly",$E439/12,IF($H439="Quarterly (From April)",0,IF($H439="Termly",0,IF($H439="Monthly (excl. August)",$E439/11,""))))</f>
        <v/>
      </c>
      <c r="L439" s="302" t="str">
        <f>IF($H439="Monthly",$E439/12,IF($H439="Quarterly (From April)",$E439/4,IF($H439="Termly",0,IF($H439="Monthly (excl. August)",$E439/11,""))))</f>
        <v/>
      </c>
      <c r="M439" s="302" t="str">
        <f>IF($H439="Monthly",$E439/12,IF($H439="Quarterly (From April)",0,IF($H439="Termly",0,IF($H439="Monthly (excl. August)",0,""))))</f>
        <v/>
      </c>
      <c r="N439" s="302" t="str">
        <f>IF($H439="Monthly",$E439/12,IF($H439="Quarterly (From April)",0,IF($H439="Termly",$E439/3,IF($H439="Monthly (excl. August)",$E439/11,""))))</f>
        <v/>
      </c>
      <c r="O439" s="302" t="str">
        <f>IF($H439="Monthly",$E439/12,IF($H439="Quarterly (From April)",$E439/4,IF($H439="Termly",0,IF($H439="Monthly (excl. August)",$E439/11,""))))</f>
        <v/>
      </c>
      <c r="P439" s="302" t="str">
        <f>IF($H439="Monthly",$E439/12,IF($H439="Quarterly (From April)",0,IF($H439="Termly",0,IF($H439="Monthly (excl. August)",$E439/11,""))))</f>
        <v/>
      </c>
      <c r="Q439" s="302" t="str">
        <f>IF($H439="Monthly",$E439/12,IF($H439="Quarterly (From April)",0,IF($H439="Termly",0,IF($H439="Monthly (excl. August)",$E439/11,""))))</f>
        <v/>
      </c>
      <c r="R439" s="302" t="str">
        <f>IF($H439="Monthly",$E439/12,IF($H439="Quarterly (From April)",$E439/4,IF($H439="Termly",$E439/3,IF($H439="Monthly (excl. August)",$E439/11,""))))</f>
        <v/>
      </c>
      <c r="S439" s="302" t="str">
        <f>IF($H439="Monthly",$E439/12,IF($H439="Quarterly (From April)",0,IF($H439="Termly",0,IF($H439="Monthly (excl. August)",$E439/11,""))))</f>
        <v/>
      </c>
      <c r="T439" s="302" t="str">
        <f>IF($H439="Monthly",$E439/12,IF($H439="Quarterly (From April)",0,IF($H439="Termly",0,IF($H439="Monthly (excl. August)",$E439/11,""))))</f>
        <v/>
      </c>
      <c r="U439" s="303">
        <f>E439</f>
        <v>0</v>
      </c>
      <c r="V439" s="214">
        <f>IF(ROUND(SUM(I439:T439),0)&gt;U439,1,IF(ROUND(SUM(I439:T439),0)&lt;U439,1,0))</f>
        <v>0</v>
      </c>
      <c r="W439" s="322">
        <f>ROUND(SUM(I439:T439)-U439,0)</f>
        <v>0</v>
      </c>
    </row>
    <row r="440" spans="1:23" ht="13.5" thickBot="1" x14ac:dyDescent="0.25">
      <c r="A440" s="8"/>
      <c r="B440" s="118"/>
      <c r="C440" s="106"/>
      <c r="D440" s="107"/>
      <c r="E440" s="267"/>
      <c r="F440" s="268"/>
      <c r="I440" s="306"/>
      <c r="J440" s="306"/>
      <c r="K440" s="306"/>
      <c r="L440" s="306"/>
      <c r="M440" s="306"/>
      <c r="N440" s="306"/>
      <c r="O440" s="306"/>
      <c r="P440" s="306"/>
      <c r="Q440" s="306"/>
      <c r="R440" s="306"/>
      <c r="S440" s="306"/>
      <c r="T440" s="306"/>
      <c r="U440" s="305"/>
      <c r="W440" s="322"/>
    </row>
    <row r="441" spans="1:23" x14ac:dyDescent="0.2">
      <c r="A441" s="920" t="s">
        <v>651</v>
      </c>
      <c r="B441" s="162">
        <v>2017</v>
      </c>
      <c r="C441" s="146" t="s">
        <v>761</v>
      </c>
      <c r="D441" s="1008" t="s">
        <v>1058</v>
      </c>
      <c r="E441" s="246">
        <v>200</v>
      </c>
      <c r="F441" s="262"/>
      <c r="H441" s="43" t="s">
        <v>293</v>
      </c>
      <c r="I441" s="302">
        <f t="shared" ref="I441:I450" si="310">IF($H441="Monthly",$E441/12,IF($H441="Quarterly (From April)",$E441/4,IF($H441="Termly",$E441/3,IF($H441="Monthly (excl. August)",$E441/11,""))))</f>
        <v>66.666666666666671</v>
      </c>
      <c r="J441" s="302">
        <f t="shared" ref="J441:K450" si="311">IF($H441="Monthly",$E441/12,IF($H441="Quarterly (From April)",0,IF($H441="Termly",0,IF($H441="Monthly (excl. August)",$E441/11,""))))</f>
        <v>0</v>
      </c>
      <c r="K441" s="302">
        <f t="shared" si="311"/>
        <v>0</v>
      </c>
      <c r="L441" s="302">
        <f t="shared" ref="L441:L450" si="312">IF($H441="Monthly",$E441/12,IF($H441="Quarterly (From April)",$E441/4,IF($H441="Termly",0,IF($H441="Monthly (excl. August)",$E441/11,""))))</f>
        <v>0</v>
      </c>
      <c r="M441" s="302">
        <f t="shared" ref="M441:M450" si="313">IF($H441="Monthly",$E441/12,IF($H441="Quarterly (From April)",0,IF($H441="Termly",0,IF($H441="Monthly (excl. August)",0,""))))</f>
        <v>0</v>
      </c>
      <c r="N441" s="302">
        <f t="shared" ref="N441:N450" si="314">IF($H441="Monthly",$E441/12,IF($H441="Quarterly (From April)",0,IF($H441="Termly",$E441/3,IF($H441="Monthly (excl. August)",$E441/11,""))))</f>
        <v>66.666666666666671</v>
      </c>
      <c r="O441" s="302">
        <f t="shared" ref="O441:O450" si="315">IF($H441="Monthly",$E441/12,IF($H441="Quarterly (From April)",$E441/4,IF($H441="Termly",0,IF($H441="Monthly (excl. August)",$E441/11,""))))</f>
        <v>0</v>
      </c>
      <c r="P441" s="302">
        <f t="shared" ref="P441:Q450" si="316">IF($H441="Monthly",$E441/12,IF($H441="Quarterly (From April)",0,IF($H441="Termly",0,IF($H441="Monthly (excl. August)",$E441/11,""))))</f>
        <v>0</v>
      </c>
      <c r="Q441" s="302">
        <f t="shared" si="316"/>
        <v>0</v>
      </c>
      <c r="R441" s="302">
        <f t="shared" ref="R441:R450" si="317">IF($H441="Monthly",$E441/12,IF($H441="Quarterly (From April)",$E441/4,IF($H441="Termly",$E441/3,IF($H441="Monthly (excl. August)",$E441/11,""))))</f>
        <v>66.666666666666671</v>
      </c>
      <c r="S441" s="302">
        <f t="shared" ref="S441:T450" si="318">IF($H441="Monthly",$E441/12,IF($H441="Quarterly (From April)",0,IF($H441="Termly",0,IF($H441="Monthly (excl. August)",$E441/11,""))))</f>
        <v>0</v>
      </c>
      <c r="T441" s="302">
        <f t="shared" si="318"/>
        <v>0</v>
      </c>
      <c r="U441" s="303">
        <f t="shared" ref="U441:U450" si="319">E441</f>
        <v>200</v>
      </c>
      <c r="V441" s="214">
        <f t="shared" ref="V441:V450" si="320">IF(ROUND(SUM(I441:T441),0)&gt;U441,1,IF(ROUND(SUM(I441:T441),0)&lt;U441,1,0))</f>
        <v>0</v>
      </c>
      <c r="W441" s="322">
        <f t="shared" ref="W441:W450" si="321">ROUND(SUM(I441:T441)-U441,0)</f>
        <v>0</v>
      </c>
    </row>
    <row r="442" spans="1:23" x14ac:dyDescent="0.2">
      <c r="A442" s="1105"/>
      <c r="B442" s="157">
        <v>2021</v>
      </c>
      <c r="C442" s="108" t="s">
        <v>652</v>
      </c>
      <c r="D442" s="417" t="s">
        <v>1083</v>
      </c>
      <c r="E442" s="250">
        <v>200</v>
      </c>
      <c r="F442" s="263"/>
      <c r="H442" s="43" t="s">
        <v>294</v>
      </c>
      <c r="I442" s="302">
        <f t="shared" si="310"/>
        <v>18.181818181818183</v>
      </c>
      <c r="J442" s="302">
        <f t="shared" si="311"/>
        <v>18.181818181818183</v>
      </c>
      <c r="K442" s="302">
        <f t="shared" si="311"/>
        <v>18.181818181818183</v>
      </c>
      <c r="L442" s="302">
        <f t="shared" si="312"/>
        <v>18.181818181818183</v>
      </c>
      <c r="M442" s="302">
        <f t="shared" si="313"/>
        <v>0</v>
      </c>
      <c r="N442" s="302">
        <f t="shared" si="314"/>
        <v>18.181818181818183</v>
      </c>
      <c r="O442" s="302">
        <f t="shared" si="315"/>
        <v>18.181818181818183</v>
      </c>
      <c r="P442" s="302">
        <f t="shared" si="316"/>
        <v>18.181818181818183</v>
      </c>
      <c r="Q442" s="302">
        <f t="shared" si="316"/>
        <v>18.181818181818183</v>
      </c>
      <c r="R442" s="302">
        <f t="shared" si="317"/>
        <v>18.181818181818183</v>
      </c>
      <c r="S442" s="302">
        <f t="shared" si="318"/>
        <v>18.181818181818183</v>
      </c>
      <c r="T442" s="302">
        <f t="shared" si="318"/>
        <v>18.181818181818183</v>
      </c>
      <c r="U442" s="303">
        <f t="shared" si="319"/>
        <v>200</v>
      </c>
      <c r="V442" s="214">
        <f t="shared" si="320"/>
        <v>0</v>
      </c>
      <c r="W442" s="322">
        <f t="shared" si="321"/>
        <v>0</v>
      </c>
    </row>
    <row r="443" spans="1:23" x14ac:dyDescent="0.2">
      <c r="A443" s="1103"/>
      <c r="B443" s="169">
        <v>2205</v>
      </c>
      <c r="C443" s="148" t="s">
        <v>762</v>
      </c>
      <c r="D443" s="417" t="s">
        <v>1083</v>
      </c>
      <c r="E443" s="250">
        <v>6962</v>
      </c>
      <c r="F443" s="258"/>
      <c r="H443" s="43" t="s">
        <v>294</v>
      </c>
      <c r="I443" s="302">
        <f t="shared" si="310"/>
        <v>632.90909090909088</v>
      </c>
      <c r="J443" s="302">
        <f t="shared" si="311"/>
        <v>632.90909090909088</v>
      </c>
      <c r="K443" s="302">
        <f t="shared" si="311"/>
        <v>632.90909090909088</v>
      </c>
      <c r="L443" s="302">
        <f t="shared" si="312"/>
        <v>632.90909090909088</v>
      </c>
      <c r="M443" s="302">
        <f t="shared" si="313"/>
        <v>0</v>
      </c>
      <c r="N443" s="302">
        <f t="shared" si="314"/>
        <v>632.90909090909088</v>
      </c>
      <c r="O443" s="302">
        <f t="shared" si="315"/>
        <v>632.90909090909088</v>
      </c>
      <c r="P443" s="302">
        <f t="shared" si="316"/>
        <v>632.90909090909088</v>
      </c>
      <c r="Q443" s="302">
        <f t="shared" si="316"/>
        <v>632.90909090909088</v>
      </c>
      <c r="R443" s="302">
        <f t="shared" si="317"/>
        <v>632.90909090909088</v>
      </c>
      <c r="S443" s="302">
        <f t="shared" si="318"/>
        <v>632.90909090909088</v>
      </c>
      <c r="T443" s="302">
        <f t="shared" si="318"/>
        <v>632.90909090909088</v>
      </c>
      <c r="U443" s="303">
        <f t="shared" si="319"/>
        <v>6962</v>
      </c>
      <c r="V443" s="214">
        <f t="shared" si="320"/>
        <v>0</v>
      </c>
      <c r="W443" s="322">
        <f t="shared" si="321"/>
        <v>0</v>
      </c>
    </row>
    <row r="444" spans="1:23" x14ac:dyDescent="0.2">
      <c r="A444" s="1103"/>
      <c r="B444" s="157">
        <v>2202</v>
      </c>
      <c r="C444" s="151" t="s">
        <v>654</v>
      </c>
      <c r="D444" s="95"/>
      <c r="E444" s="250"/>
      <c r="F444" s="263"/>
      <c r="H444" s="43" t="s">
        <v>267</v>
      </c>
      <c r="I444" s="302" t="str">
        <f t="shared" si="310"/>
        <v/>
      </c>
      <c r="J444" s="302" t="str">
        <f t="shared" si="311"/>
        <v/>
      </c>
      <c r="K444" s="302" t="str">
        <f t="shared" si="311"/>
        <v/>
      </c>
      <c r="L444" s="302" t="str">
        <f t="shared" si="312"/>
        <v/>
      </c>
      <c r="M444" s="302" t="str">
        <f t="shared" si="313"/>
        <v/>
      </c>
      <c r="N444" s="302" t="str">
        <f t="shared" si="314"/>
        <v/>
      </c>
      <c r="O444" s="302" t="str">
        <f t="shared" si="315"/>
        <v/>
      </c>
      <c r="P444" s="302" t="str">
        <f t="shared" si="316"/>
        <v/>
      </c>
      <c r="Q444" s="302" t="str">
        <f t="shared" si="316"/>
        <v/>
      </c>
      <c r="R444" s="302" t="str">
        <f t="shared" si="317"/>
        <v/>
      </c>
      <c r="S444" s="302" t="str">
        <f t="shared" si="318"/>
        <v/>
      </c>
      <c r="T444" s="302" t="str">
        <f t="shared" si="318"/>
        <v/>
      </c>
      <c r="U444" s="303">
        <f t="shared" si="319"/>
        <v>0</v>
      </c>
      <c r="V444" s="214">
        <f t="shared" si="320"/>
        <v>0</v>
      </c>
      <c r="W444" s="322">
        <f t="shared" si="321"/>
        <v>0</v>
      </c>
    </row>
    <row r="445" spans="1:23" x14ac:dyDescent="0.2">
      <c r="A445" s="1103"/>
      <c r="B445" s="157">
        <v>2230</v>
      </c>
      <c r="C445" s="108" t="s">
        <v>653</v>
      </c>
      <c r="D445" s="104"/>
      <c r="E445" s="250"/>
      <c r="F445" s="258"/>
      <c r="H445" s="43" t="s">
        <v>267</v>
      </c>
      <c r="I445" s="302" t="str">
        <f t="shared" si="310"/>
        <v/>
      </c>
      <c r="J445" s="302" t="str">
        <f t="shared" si="311"/>
        <v/>
      </c>
      <c r="K445" s="302" t="str">
        <f t="shared" si="311"/>
        <v/>
      </c>
      <c r="L445" s="302" t="str">
        <f t="shared" si="312"/>
        <v/>
      </c>
      <c r="M445" s="302" t="str">
        <f t="shared" si="313"/>
        <v/>
      </c>
      <c r="N445" s="302" t="str">
        <f t="shared" si="314"/>
        <v/>
      </c>
      <c r="O445" s="302" t="str">
        <f t="shared" si="315"/>
        <v/>
      </c>
      <c r="P445" s="302" t="str">
        <f t="shared" si="316"/>
        <v/>
      </c>
      <c r="Q445" s="302" t="str">
        <f t="shared" si="316"/>
        <v/>
      </c>
      <c r="R445" s="302" t="str">
        <f t="shared" si="317"/>
        <v/>
      </c>
      <c r="S445" s="302" t="str">
        <f t="shared" si="318"/>
        <v/>
      </c>
      <c r="T445" s="302" t="str">
        <f t="shared" si="318"/>
        <v/>
      </c>
      <c r="U445" s="303">
        <f t="shared" si="319"/>
        <v>0</v>
      </c>
      <c r="V445" s="214">
        <f t="shared" si="320"/>
        <v>0</v>
      </c>
      <c r="W445" s="322">
        <f t="shared" si="321"/>
        <v>0</v>
      </c>
    </row>
    <row r="446" spans="1:23" x14ac:dyDescent="0.2">
      <c r="A446" s="1103"/>
      <c r="B446" s="157"/>
      <c r="C446" s="148" t="s">
        <v>1060</v>
      </c>
      <c r="D446" s="417" t="s">
        <v>1058</v>
      </c>
      <c r="E446" s="250">
        <v>250</v>
      </c>
      <c r="F446" s="263"/>
      <c r="H446" s="43" t="s">
        <v>292</v>
      </c>
      <c r="I446" s="302">
        <f t="shared" si="310"/>
        <v>62.5</v>
      </c>
      <c r="J446" s="302">
        <f t="shared" si="311"/>
        <v>0</v>
      </c>
      <c r="K446" s="302">
        <f t="shared" si="311"/>
        <v>0</v>
      </c>
      <c r="L446" s="302">
        <f t="shared" si="312"/>
        <v>62.5</v>
      </c>
      <c r="M446" s="302">
        <f t="shared" si="313"/>
        <v>0</v>
      </c>
      <c r="N446" s="302">
        <f t="shared" si="314"/>
        <v>0</v>
      </c>
      <c r="O446" s="302">
        <f t="shared" si="315"/>
        <v>62.5</v>
      </c>
      <c r="P446" s="302">
        <f t="shared" si="316"/>
        <v>0</v>
      </c>
      <c r="Q446" s="302">
        <f t="shared" si="316"/>
        <v>0</v>
      </c>
      <c r="R446" s="302">
        <f t="shared" si="317"/>
        <v>62.5</v>
      </c>
      <c r="S446" s="302">
        <f t="shared" si="318"/>
        <v>0</v>
      </c>
      <c r="T446" s="302">
        <f t="shared" si="318"/>
        <v>0</v>
      </c>
      <c r="U446" s="303">
        <f t="shared" si="319"/>
        <v>250</v>
      </c>
      <c r="V446" s="214">
        <f t="shared" si="320"/>
        <v>0</v>
      </c>
      <c r="W446" s="322">
        <f t="shared" si="321"/>
        <v>0</v>
      </c>
    </row>
    <row r="447" spans="1:23" x14ac:dyDescent="0.2">
      <c r="A447" s="1103"/>
      <c r="B447" s="157"/>
      <c r="C447" s="151"/>
      <c r="D447" s="95"/>
      <c r="E447" s="250"/>
      <c r="F447" s="263"/>
      <c r="H447" s="43" t="s">
        <v>267</v>
      </c>
      <c r="I447" s="302" t="str">
        <f t="shared" si="310"/>
        <v/>
      </c>
      <c r="J447" s="302" t="str">
        <f t="shared" si="311"/>
        <v/>
      </c>
      <c r="K447" s="302" t="str">
        <f t="shared" si="311"/>
        <v/>
      </c>
      <c r="L447" s="302" t="str">
        <f t="shared" si="312"/>
        <v/>
      </c>
      <c r="M447" s="302" t="str">
        <f t="shared" si="313"/>
        <v/>
      </c>
      <c r="N447" s="302" t="str">
        <f t="shared" si="314"/>
        <v/>
      </c>
      <c r="O447" s="302" t="str">
        <f t="shared" si="315"/>
        <v/>
      </c>
      <c r="P447" s="302" t="str">
        <f t="shared" si="316"/>
        <v/>
      </c>
      <c r="Q447" s="302" t="str">
        <f t="shared" si="316"/>
        <v/>
      </c>
      <c r="R447" s="302" t="str">
        <f t="shared" si="317"/>
        <v/>
      </c>
      <c r="S447" s="302" t="str">
        <f t="shared" si="318"/>
        <v/>
      </c>
      <c r="T447" s="302" t="str">
        <f t="shared" si="318"/>
        <v/>
      </c>
      <c r="U447" s="303">
        <f t="shared" si="319"/>
        <v>0</v>
      </c>
      <c r="V447" s="214">
        <f t="shared" si="320"/>
        <v>0</v>
      </c>
      <c r="W447" s="322">
        <f t="shared" si="321"/>
        <v>0</v>
      </c>
    </row>
    <row r="448" spans="1:23" ht="25.5" x14ac:dyDescent="0.2">
      <c r="A448" s="1103"/>
      <c r="B448" s="169"/>
      <c r="C448" s="108"/>
      <c r="D448" s="1009" t="s">
        <v>1061</v>
      </c>
      <c r="E448" s="250"/>
      <c r="F448" s="258"/>
      <c r="H448" s="43" t="s">
        <v>267</v>
      </c>
      <c r="I448" s="302" t="str">
        <f t="shared" si="310"/>
        <v/>
      </c>
      <c r="J448" s="302" t="str">
        <f t="shared" si="311"/>
        <v/>
      </c>
      <c r="K448" s="302" t="str">
        <f t="shared" si="311"/>
        <v/>
      </c>
      <c r="L448" s="302" t="str">
        <f t="shared" si="312"/>
        <v/>
      </c>
      <c r="M448" s="302" t="str">
        <f t="shared" si="313"/>
        <v/>
      </c>
      <c r="N448" s="302" t="str">
        <f t="shared" si="314"/>
        <v/>
      </c>
      <c r="O448" s="302" t="str">
        <f t="shared" si="315"/>
        <v/>
      </c>
      <c r="P448" s="302" t="str">
        <f t="shared" si="316"/>
        <v/>
      </c>
      <c r="Q448" s="302" t="str">
        <f t="shared" si="316"/>
        <v/>
      </c>
      <c r="R448" s="302" t="str">
        <f t="shared" si="317"/>
        <v/>
      </c>
      <c r="S448" s="302" t="str">
        <f t="shared" si="318"/>
        <v/>
      </c>
      <c r="T448" s="302" t="str">
        <f t="shared" si="318"/>
        <v/>
      </c>
      <c r="U448" s="303">
        <f t="shared" si="319"/>
        <v>0</v>
      </c>
      <c r="V448" s="214">
        <f t="shared" si="320"/>
        <v>0</v>
      </c>
      <c r="W448" s="322">
        <f t="shared" si="321"/>
        <v>0</v>
      </c>
    </row>
    <row r="449" spans="1:23" x14ac:dyDescent="0.2">
      <c r="A449" s="1103"/>
      <c r="B449" s="157"/>
      <c r="C449" s="108"/>
      <c r="D449" s="95"/>
      <c r="E449" s="250"/>
      <c r="F449" s="263"/>
      <c r="H449" s="43" t="s">
        <v>267</v>
      </c>
      <c r="I449" s="302" t="str">
        <f t="shared" si="310"/>
        <v/>
      </c>
      <c r="J449" s="302" t="str">
        <f t="shared" si="311"/>
        <v/>
      </c>
      <c r="K449" s="302" t="str">
        <f t="shared" si="311"/>
        <v/>
      </c>
      <c r="L449" s="302" t="str">
        <f t="shared" si="312"/>
        <v/>
      </c>
      <c r="M449" s="302" t="str">
        <f t="shared" si="313"/>
        <v/>
      </c>
      <c r="N449" s="302" t="str">
        <f t="shared" si="314"/>
        <v/>
      </c>
      <c r="O449" s="302" t="str">
        <f t="shared" si="315"/>
        <v/>
      </c>
      <c r="P449" s="302" t="str">
        <f t="shared" si="316"/>
        <v/>
      </c>
      <c r="Q449" s="302" t="str">
        <f t="shared" si="316"/>
        <v/>
      </c>
      <c r="R449" s="302" t="str">
        <f t="shared" si="317"/>
        <v/>
      </c>
      <c r="S449" s="302" t="str">
        <f t="shared" si="318"/>
        <v/>
      </c>
      <c r="T449" s="302" t="str">
        <f t="shared" si="318"/>
        <v/>
      </c>
      <c r="U449" s="303">
        <f t="shared" si="319"/>
        <v>0</v>
      </c>
      <c r="V449" s="214">
        <f t="shared" si="320"/>
        <v>0</v>
      </c>
      <c r="W449" s="322">
        <f t="shared" si="321"/>
        <v>0</v>
      </c>
    </row>
    <row r="450" spans="1:23" ht="13.5" thickBot="1" x14ac:dyDescent="0.25">
      <c r="A450" s="1104"/>
      <c r="B450" s="158"/>
      <c r="C450" s="166"/>
      <c r="D450" s="100"/>
      <c r="E450" s="256"/>
      <c r="F450" s="277">
        <f>SUM(E441:E450)</f>
        <v>7612</v>
      </c>
      <c r="H450" s="43" t="s">
        <v>267</v>
      </c>
      <c r="I450" s="302" t="str">
        <f t="shared" si="310"/>
        <v/>
      </c>
      <c r="J450" s="302" t="str">
        <f t="shared" si="311"/>
        <v/>
      </c>
      <c r="K450" s="302" t="str">
        <f t="shared" si="311"/>
        <v/>
      </c>
      <c r="L450" s="302" t="str">
        <f t="shared" si="312"/>
        <v/>
      </c>
      <c r="M450" s="302" t="str">
        <f t="shared" si="313"/>
        <v/>
      </c>
      <c r="N450" s="302" t="str">
        <f t="shared" si="314"/>
        <v/>
      </c>
      <c r="O450" s="302" t="str">
        <f t="shared" si="315"/>
        <v/>
      </c>
      <c r="P450" s="302" t="str">
        <f t="shared" si="316"/>
        <v/>
      </c>
      <c r="Q450" s="302" t="str">
        <f t="shared" si="316"/>
        <v/>
      </c>
      <c r="R450" s="302" t="str">
        <f t="shared" si="317"/>
        <v/>
      </c>
      <c r="S450" s="302" t="str">
        <f t="shared" si="318"/>
        <v/>
      </c>
      <c r="T450" s="302" t="str">
        <f t="shared" si="318"/>
        <v/>
      </c>
      <c r="U450" s="303">
        <f t="shared" si="319"/>
        <v>0</v>
      </c>
      <c r="V450" s="214">
        <f t="shared" si="320"/>
        <v>0</v>
      </c>
      <c r="W450" s="322">
        <f t="shared" si="321"/>
        <v>0</v>
      </c>
    </row>
    <row r="451" spans="1:23" ht="13.5" thickBot="1" x14ac:dyDescent="0.25">
      <c r="A451" s="8"/>
      <c r="B451" s="118"/>
      <c r="C451" s="106"/>
      <c r="D451" s="107"/>
      <c r="E451" s="267"/>
      <c r="F451" s="268"/>
      <c r="I451" s="306"/>
      <c r="J451" s="306"/>
      <c r="K451" s="306"/>
      <c r="L451" s="306"/>
      <c r="M451" s="306"/>
      <c r="N451" s="306"/>
      <c r="O451" s="306"/>
      <c r="P451" s="306"/>
      <c r="Q451" s="306"/>
      <c r="R451" s="306"/>
      <c r="S451" s="306"/>
      <c r="T451" s="306"/>
      <c r="U451" s="305"/>
      <c r="W451" s="322"/>
    </row>
    <row r="452" spans="1:23" ht="12.75" customHeight="1" x14ac:dyDescent="0.2">
      <c r="A452" s="1114" t="s">
        <v>889</v>
      </c>
      <c r="B452" s="170"/>
      <c r="C452" s="113"/>
      <c r="D452" s="1078" t="s">
        <v>893</v>
      </c>
      <c r="E452" s="1079"/>
      <c r="F452" s="247"/>
    </row>
    <row r="453" spans="1:23" x14ac:dyDescent="0.2">
      <c r="A453" s="1115"/>
      <c r="B453" s="160"/>
      <c r="C453" s="108"/>
      <c r="D453" s="1080"/>
      <c r="E453" s="1081"/>
      <c r="F453" s="251"/>
    </row>
    <row r="454" spans="1:23" x14ac:dyDescent="0.2">
      <c r="A454" s="1115"/>
      <c r="B454" s="160"/>
      <c r="C454" s="108"/>
      <c r="D454" s="1082"/>
      <c r="E454" s="1083"/>
      <c r="F454" s="251"/>
    </row>
    <row r="455" spans="1:23" ht="13.5" thickBot="1" x14ac:dyDescent="0.25">
      <c r="A455" s="1116"/>
      <c r="B455" s="161"/>
      <c r="C455" s="109"/>
      <c r="D455" s="1084" t="s">
        <v>894</v>
      </c>
      <c r="E455" s="1085"/>
      <c r="F455" s="257">
        <f>Income!D20</f>
        <v>198</v>
      </c>
    </row>
    <row r="456" spans="1:23" ht="13.5" thickBot="1" x14ac:dyDescent="0.25">
      <c r="A456" s="45"/>
      <c r="B456" s="119"/>
      <c r="C456" s="111"/>
      <c r="D456" s="107"/>
      <c r="E456" s="267"/>
      <c r="F456" s="270"/>
      <c r="I456" s="306"/>
      <c r="J456" s="306"/>
      <c r="K456" s="306"/>
      <c r="L456" s="306"/>
      <c r="M456" s="306"/>
      <c r="N456" s="306"/>
      <c r="O456" s="306"/>
      <c r="P456" s="306"/>
      <c r="Q456" s="306"/>
      <c r="R456" s="306"/>
      <c r="S456" s="306"/>
      <c r="T456" s="306"/>
      <c r="U456" s="305"/>
      <c r="W456" s="322"/>
    </row>
    <row r="457" spans="1:23" ht="12.75" customHeight="1" x14ac:dyDescent="0.2">
      <c r="A457" s="1092" t="s">
        <v>1062</v>
      </c>
      <c r="B457" s="170"/>
      <c r="C457" s="113"/>
      <c r="D457" s="1005" t="s">
        <v>1072</v>
      </c>
      <c r="E457" s="246">
        <v>10760</v>
      </c>
      <c r="F457" s="247"/>
      <c r="H457" s="43" t="s">
        <v>294</v>
      </c>
      <c r="I457" s="302">
        <f>IF($H457="Monthly",$E457/12,IF($H457="Quarterly (From April)",$E457/4,IF($H457="Termly",$E457/3,IF($H457="Monthly (excl. August)",$E457/11,""))))</f>
        <v>978.18181818181813</v>
      </c>
      <c r="J457" s="302">
        <f t="shared" ref="J457:K460" si="322">IF($H457="Monthly",$E457/12,IF($H457="Quarterly (From April)",0,IF($H457="Termly",0,IF($H457="Monthly (excl. August)",$E457/11,""))))</f>
        <v>978.18181818181813</v>
      </c>
      <c r="K457" s="302">
        <f t="shared" si="322"/>
        <v>978.18181818181813</v>
      </c>
      <c r="L457" s="302">
        <f>IF($H457="Monthly",$E457/12,IF($H457="Quarterly (From April)",$E457/4,IF($H457="Termly",0,IF($H457="Monthly (excl. August)",$E457/11,""))))</f>
        <v>978.18181818181813</v>
      </c>
      <c r="M457" s="302">
        <f>IF($H457="Monthly",$E457/12,IF($H457="Quarterly (From April)",0,IF($H457="Termly",0,IF($H457="Monthly (excl. August)",0,""))))</f>
        <v>0</v>
      </c>
      <c r="N457" s="302">
        <f>IF($H457="Monthly",$E457/12,IF($H457="Quarterly (From April)",0,IF($H457="Termly",$E457/3,IF($H457="Monthly (excl. August)",$E457/11,""))))</f>
        <v>978.18181818181813</v>
      </c>
      <c r="O457" s="302">
        <f>IF($H457="Monthly",$E457/12,IF($H457="Quarterly (From April)",$E457/4,IF($H457="Termly",0,IF($H457="Monthly (excl. August)",$E457/11,""))))</f>
        <v>978.18181818181813</v>
      </c>
      <c r="P457" s="302">
        <f t="shared" ref="P457:Q460" si="323">IF($H457="Monthly",$E457/12,IF($H457="Quarterly (From April)",0,IF($H457="Termly",0,IF($H457="Monthly (excl. August)",$E457/11,""))))</f>
        <v>978.18181818181813</v>
      </c>
      <c r="Q457" s="302">
        <f t="shared" si="323"/>
        <v>978.18181818181813</v>
      </c>
      <c r="R457" s="302">
        <f>IF($H457="Monthly",$E457/12,IF($H457="Quarterly (From April)",$E457/4,IF($H457="Termly",$E457/3,IF($H457="Monthly (excl. August)",$E457/11,""))))</f>
        <v>978.18181818181813</v>
      </c>
      <c r="S457" s="302">
        <f t="shared" ref="S457:T460" si="324">IF($H457="Monthly",$E457/12,IF($H457="Quarterly (From April)",0,IF($H457="Termly",0,IF($H457="Monthly (excl. August)",$E457/11,""))))</f>
        <v>978.18181818181813</v>
      </c>
      <c r="T457" s="302">
        <f t="shared" si="324"/>
        <v>978.18181818181813</v>
      </c>
      <c r="U457" s="303">
        <f>E457</f>
        <v>10760</v>
      </c>
      <c r="V457" s="214">
        <f>IF(ROUND(SUM(I457:T457),0)&gt;U457,1,IF(ROUND(SUM(I457:T457),0)&lt;U457,1,0))</f>
        <v>0</v>
      </c>
      <c r="W457" s="322">
        <f>ROUND(SUM(I457:T457)-U457,0)</f>
        <v>0</v>
      </c>
    </row>
    <row r="458" spans="1:23" x14ac:dyDescent="0.2">
      <c r="A458" s="1093"/>
      <c r="B458" s="160"/>
      <c r="C458" s="108"/>
      <c r="D458" s="95"/>
      <c r="E458" s="250"/>
      <c r="F458" s="251"/>
      <c r="H458" s="43" t="s">
        <v>267</v>
      </c>
      <c r="I458" s="302" t="str">
        <f>IF($H458="Monthly",$E458/12,IF($H458="Quarterly (From April)",$E458/4,IF($H458="Termly",$E458/3,IF($H458="Monthly (excl. August)",$E458/11,""))))</f>
        <v/>
      </c>
      <c r="J458" s="302" t="str">
        <f t="shared" si="322"/>
        <v/>
      </c>
      <c r="K458" s="302" t="str">
        <f t="shared" si="322"/>
        <v/>
      </c>
      <c r="L458" s="302" t="str">
        <f>IF($H458="Monthly",$E458/12,IF($H458="Quarterly (From April)",$E458/4,IF($H458="Termly",0,IF($H458="Monthly (excl. August)",$E458/11,""))))</f>
        <v/>
      </c>
      <c r="M458" s="302" t="str">
        <f>IF($H458="Monthly",$E458/12,IF($H458="Quarterly (From April)",0,IF($H458="Termly",0,IF($H458="Monthly (excl. August)",0,""))))</f>
        <v/>
      </c>
      <c r="N458" s="302" t="str">
        <f>IF($H458="Monthly",$E458/12,IF($H458="Quarterly (From April)",0,IF($H458="Termly",$E458/3,IF($H458="Monthly (excl. August)",$E458/11,""))))</f>
        <v/>
      </c>
      <c r="O458" s="302" t="str">
        <f>IF($H458="Monthly",$E458/12,IF($H458="Quarterly (From April)",$E458/4,IF($H458="Termly",0,IF($H458="Monthly (excl. August)",$E458/11,""))))</f>
        <v/>
      </c>
      <c r="P458" s="302" t="str">
        <f t="shared" si="323"/>
        <v/>
      </c>
      <c r="Q458" s="302" t="str">
        <f t="shared" si="323"/>
        <v/>
      </c>
      <c r="R458" s="302" t="str">
        <f>IF($H458="Monthly",$E458/12,IF($H458="Quarterly (From April)",$E458/4,IF($H458="Termly",$E458/3,IF($H458="Monthly (excl. August)",$E458/11,""))))</f>
        <v/>
      </c>
      <c r="S458" s="302" t="str">
        <f t="shared" si="324"/>
        <v/>
      </c>
      <c r="T458" s="302" t="str">
        <f t="shared" si="324"/>
        <v/>
      </c>
      <c r="U458" s="303">
        <f>E458</f>
        <v>0</v>
      </c>
      <c r="V458" s="214">
        <f>IF(ROUND(SUM(I458:T458),0)&gt;U458,1,IF(ROUND(SUM(I458:T458),0)&lt;U458,1,0))</f>
        <v>0</v>
      </c>
      <c r="W458" s="322">
        <f>ROUND(SUM(I458:T458)-U458,0)</f>
        <v>0</v>
      </c>
    </row>
    <row r="459" spans="1:23" x14ac:dyDescent="0.2">
      <c r="A459" s="1093"/>
      <c r="B459" s="160"/>
      <c r="C459" s="108"/>
      <c r="D459" s="95"/>
      <c r="E459" s="250"/>
      <c r="F459" s="251"/>
      <c r="H459" s="43" t="s">
        <v>267</v>
      </c>
      <c r="I459" s="302" t="str">
        <f>IF($H459="Monthly",$E459/12,IF($H459="Quarterly (From April)",$E459/4,IF($H459="Termly",$E459/3,IF($H459="Monthly (excl. August)",$E459/11,""))))</f>
        <v/>
      </c>
      <c r="J459" s="302" t="str">
        <f t="shared" si="322"/>
        <v/>
      </c>
      <c r="K459" s="302" t="str">
        <f t="shared" si="322"/>
        <v/>
      </c>
      <c r="L459" s="302" t="str">
        <f>IF($H459="Monthly",$E459/12,IF($H459="Quarterly (From April)",$E459/4,IF($H459="Termly",0,IF($H459="Monthly (excl. August)",$E459/11,""))))</f>
        <v/>
      </c>
      <c r="M459" s="302" t="str">
        <f>IF($H459="Monthly",$E459/12,IF($H459="Quarterly (From April)",0,IF($H459="Termly",0,IF($H459="Monthly (excl. August)",0,""))))</f>
        <v/>
      </c>
      <c r="N459" s="302" t="str">
        <f>IF($H459="Monthly",$E459/12,IF($H459="Quarterly (From April)",0,IF($H459="Termly",$E459/3,IF($H459="Monthly (excl. August)",$E459/11,""))))</f>
        <v/>
      </c>
      <c r="O459" s="302" t="str">
        <f>IF($H459="Monthly",$E459/12,IF($H459="Quarterly (From April)",$E459/4,IF($H459="Termly",0,IF($H459="Monthly (excl. August)",$E459/11,""))))</f>
        <v/>
      </c>
      <c r="P459" s="302" t="str">
        <f t="shared" si="323"/>
        <v/>
      </c>
      <c r="Q459" s="302" t="str">
        <f t="shared" si="323"/>
        <v/>
      </c>
      <c r="R459" s="302" t="str">
        <f>IF($H459="Monthly",$E459/12,IF($H459="Quarterly (From April)",$E459/4,IF($H459="Termly",$E459/3,IF($H459="Monthly (excl. August)",$E459/11,""))))</f>
        <v/>
      </c>
      <c r="S459" s="302" t="str">
        <f t="shared" si="324"/>
        <v/>
      </c>
      <c r="T459" s="302" t="str">
        <f t="shared" si="324"/>
        <v/>
      </c>
      <c r="U459" s="303">
        <f>E459</f>
        <v>0</v>
      </c>
      <c r="V459" s="214">
        <f>IF(ROUND(SUM(I459:T459),0)&gt;U459,1,IF(ROUND(SUM(I459:T459),0)&lt;U459,1,0))</f>
        <v>0</v>
      </c>
      <c r="W459" s="322">
        <f>ROUND(SUM(I459:T459)-U459,0)</f>
        <v>0</v>
      </c>
    </row>
    <row r="460" spans="1:23" ht="13.5" thickBot="1" x14ac:dyDescent="0.25">
      <c r="A460" s="1094"/>
      <c r="B460" s="161"/>
      <c r="C460" s="109"/>
      <c r="D460" s="100"/>
      <c r="E460" s="256"/>
      <c r="F460" s="257">
        <f>SUM(E457:E460)</f>
        <v>10760</v>
      </c>
      <c r="H460" s="43" t="s">
        <v>267</v>
      </c>
      <c r="I460" s="302" t="str">
        <f>IF($H460="Monthly",$E460/12,IF($H460="Quarterly (From April)",$E460/4,IF($H460="Termly",$E460/3,IF($H460="Monthly (excl. August)",$E460/11,""))))</f>
        <v/>
      </c>
      <c r="J460" s="302" t="str">
        <f t="shared" si="322"/>
        <v/>
      </c>
      <c r="K460" s="302" t="str">
        <f t="shared" si="322"/>
        <v/>
      </c>
      <c r="L460" s="302" t="str">
        <f>IF($H460="Monthly",$E460/12,IF($H460="Quarterly (From April)",$E460/4,IF($H460="Termly",0,IF($H460="Monthly (excl. August)",$E460/11,""))))</f>
        <v/>
      </c>
      <c r="M460" s="302" t="str">
        <f>IF($H460="Monthly",$E460/12,IF($H460="Quarterly (From April)",0,IF($H460="Termly",0,IF($H460="Monthly (excl. August)",0,""))))</f>
        <v/>
      </c>
      <c r="N460" s="302" t="str">
        <f>IF($H460="Monthly",$E460/12,IF($H460="Quarterly (From April)",0,IF($H460="Termly",$E460/3,IF($H460="Monthly (excl. August)",$E460/11,""))))</f>
        <v/>
      </c>
      <c r="O460" s="302" t="str">
        <f>IF($H460="Monthly",$E460/12,IF($H460="Quarterly (From April)",$E460/4,IF($H460="Termly",0,IF($H460="Monthly (excl. August)",$E460/11,""))))</f>
        <v/>
      </c>
      <c r="P460" s="302" t="str">
        <f t="shared" si="323"/>
        <v/>
      </c>
      <c r="Q460" s="302" t="str">
        <f t="shared" si="323"/>
        <v/>
      </c>
      <c r="R460" s="302" t="str">
        <f>IF($H460="Monthly",$E460/12,IF($H460="Quarterly (From April)",$E460/4,IF($H460="Termly",$E460/3,IF($H460="Monthly (excl. August)",$E460/11,""))))</f>
        <v/>
      </c>
      <c r="S460" s="302" t="str">
        <f t="shared" si="324"/>
        <v/>
      </c>
      <c r="T460" s="302" t="str">
        <f t="shared" si="324"/>
        <v/>
      </c>
      <c r="U460" s="303">
        <f>E460</f>
        <v>0</v>
      </c>
      <c r="V460" s="214">
        <f>IF(ROUND(SUM(I460:T460),0)&gt;U460,1,IF(ROUND(SUM(I460:T460),0)&lt;U460,1,0))</f>
        <v>0</v>
      </c>
      <c r="W460" s="322">
        <f>ROUND(SUM(I460:T460)-U460,0)</f>
        <v>0</v>
      </c>
    </row>
    <row r="461" spans="1:23" ht="13.5" thickBot="1" x14ac:dyDescent="0.25">
      <c r="A461" s="45"/>
      <c r="B461" s="119"/>
      <c r="C461" s="111"/>
      <c r="D461" s="107"/>
      <c r="E461" s="267"/>
      <c r="F461" s="270"/>
      <c r="I461" s="306"/>
      <c r="J461" s="306"/>
      <c r="K461" s="306"/>
      <c r="L461" s="306"/>
      <c r="M461" s="306"/>
      <c r="N461" s="306"/>
      <c r="O461" s="306"/>
      <c r="P461" s="306"/>
      <c r="Q461" s="306"/>
      <c r="R461" s="306"/>
      <c r="S461" s="306"/>
      <c r="T461" s="306"/>
      <c r="U461" s="305"/>
      <c r="W461" s="322"/>
    </row>
    <row r="462" spans="1:23" ht="12.75" customHeight="1" x14ac:dyDescent="0.2">
      <c r="A462" s="1092" t="s">
        <v>1063</v>
      </c>
      <c r="B462" s="170"/>
      <c r="C462" s="113"/>
      <c r="D462" s="1005" t="s">
        <v>1064</v>
      </c>
      <c r="E462" s="246">
        <v>6216</v>
      </c>
      <c r="F462" s="247"/>
      <c r="H462" s="43" t="s">
        <v>294</v>
      </c>
      <c r="I462" s="302">
        <f>IF($H462="Monthly",$E462/12,IF($H462="Quarterly (From April)",$E462/4,IF($H462="Termly",$E462/3,IF($H462="Monthly (excl. August)",$E462/11,""))))</f>
        <v>565.09090909090912</v>
      </c>
      <c r="J462" s="302">
        <f t="shared" ref="J462:K465" si="325">IF($H462="Monthly",$E462/12,IF($H462="Quarterly (From April)",0,IF($H462="Termly",0,IF($H462="Monthly (excl. August)",$E462/11,""))))</f>
        <v>565.09090909090912</v>
      </c>
      <c r="K462" s="302">
        <f t="shared" si="325"/>
        <v>565.09090909090912</v>
      </c>
      <c r="L462" s="302">
        <f>IF($H462="Monthly",$E462/12,IF($H462="Quarterly (From April)",$E462/4,IF($H462="Termly",0,IF($H462="Monthly (excl. August)",$E462/11,""))))</f>
        <v>565.09090909090912</v>
      </c>
      <c r="M462" s="302">
        <f>IF($H462="Monthly",$E462/12,IF($H462="Quarterly (From April)",0,IF($H462="Termly",0,IF($H462="Monthly (excl. August)",0,""))))</f>
        <v>0</v>
      </c>
      <c r="N462" s="302">
        <f>IF($H462="Monthly",$E462/12,IF($H462="Quarterly (From April)",0,IF($H462="Termly",$E462/3,IF($H462="Monthly (excl. August)",$E462/11,""))))</f>
        <v>565.09090909090912</v>
      </c>
      <c r="O462" s="302">
        <f>IF($H462="Monthly",$E462/12,IF($H462="Quarterly (From April)",$E462/4,IF($H462="Termly",0,IF($H462="Monthly (excl. August)",$E462/11,""))))</f>
        <v>565.09090909090912</v>
      </c>
      <c r="P462" s="302">
        <f t="shared" ref="P462:Q465" si="326">IF($H462="Monthly",$E462/12,IF($H462="Quarterly (From April)",0,IF($H462="Termly",0,IF($H462="Monthly (excl. August)",$E462/11,""))))</f>
        <v>565.09090909090912</v>
      </c>
      <c r="Q462" s="302">
        <f t="shared" si="326"/>
        <v>565.09090909090912</v>
      </c>
      <c r="R462" s="302">
        <f>IF($H462="Monthly",$E462/12,IF($H462="Quarterly (From April)",$E462/4,IF($H462="Termly",$E462/3,IF($H462="Monthly (excl. August)",$E462/11,""))))</f>
        <v>565.09090909090912</v>
      </c>
      <c r="S462" s="302">
        <f t="shared" ref="S462:T465" si="327">IF($H462="Monthly",$E462/12,IF($H462="Quarterly (From April)",0,IF($H462="Termly",0,IF($H462="Monthly (excl. August)",$E462/11,""))))</f>
        <v>565.09090909090912</v>
      </c>
      <c r="T462" s="302">
        <f t="shared" si="327"/>
        <v>565.09090909090912</v>
      </c>
      <c r="U462" s="303">
        <f>E462</f>
        <v>6216</v>
      </c>
      <c r="V462" s="214">
        <f>IF(ROUND(SUM(I462:T462),0)&gt;U462,1,IF(ROUND(SUM(I462:T462),0)&lt;U462,1,0))</f>
        <v>0</v>
      </c>
      <c r="W462" s="322">
        <f>ROUND(SUM(I462:T462)-U462,0)</f>
        <v>0</v>
      </c>
    </row>
    <row r="463" spans="1:23" x14ac:dyDescent="0.2">
      <c r="A463" s="1093"/>
      <c r="B463" s="160"/>
      <c r="C463" s="108"/>
      <c r="D463" s="95"/>
      <c r="E463" s="250"/>
      <c r="F463" s="251"/>
      <c r="H463" s="43" t="s">
        <v>267</v>
      </c>
      <c r="I463" s="302" t="str">
        <f>IF($H463="Monthly",$E463/12,IF($H463="Quarterly (From April)",$E463/4,IF($H463="Termly",$E463/3,IF($H463="Monthly (excl. August)",$E463/11,""))))</f>
        <v/>
      </c>
      <c r="J463" s="302" t="str">
        <f t="shared" si="325"/>
        <v/>
      </c>
      <c r="K463" s="302" t="str">
        <f t="shared" si="325"/>
        <v/>
      </c>
      <c r="L463" s="302" t="str">
        <f>IF($H463="Monthly",$E463/12,IF($H463="Quarterly (From April)",$E463/4,IF($H463="Termly",0,IF($H463="Monthly (excl. August)",$E463/11,""))))</f>
        <v/>
      </c>
      <c r="M463" s="302" t="str">
        <f>IF($H463="Monthly",$E463/12,IF($H463="Quarterly (From April)",0,IF($H463="Termly",0,IF($H463="Monthly (excl. August)",0,""))))</f>
        <v/>
      </c>
      <c r="N463" s="302" t="str">
        <f>IF($H463="Monthly",$E463/12,IF($H463="Quarterly (From April)",0,IF($H463="Termly",$E463/3,IF($H463="Monthly (excl. August)",$E463/11,""))))</f>
        <v/>
      </c>
      <c r="O463" s="302" t="str">
        <f>IF($H463="Monthly",$E463/12,IF($H463="Quarterly (From April)",$E463/4,IF($H463="Termly",0,IF($H463="Monthly (excl. August)",$E463/11,""))))</f>
        <v/>
      </c>
      <c r="P463" s="302" t="str">
        <f t="shared" si="326"/>
        <v/>
      </c>
      <c r="Q463" s="302" t="str">
        <f t="shared" si="326"/>
        <v/>
      </c>
      <c r="R463" s="302" t="str">
        <f>IF($H463="Monthly",$E463/12,IF($H463="Quarterly (From April)",$E463/4,IF($H463="Termly",$E463/3,IF($H463="Monthly (excl. August)",$E463/11,""))))</f>
        <v/>
      </c>
      <c r="S463" s="302" t="str">
        <f t="shared" si="327"/>
        <v/>
      </c>
      <c r="T463" s="302" t="str">
        <f t="shared" si="327"/>
        <v/>
      </c>
      <c r="U463" s="303">
        <f>E463</f>
        <v>0</v>
      </c>
      <c r="V463" s="214">
        <f>IF(ROUND(SUM(I463:T463),0)&gt;U463,1,IF(ROUND(SUM(I463:T463),0)&lt;U463,1,0))</f>
        <v>0</v>
      </c>
      <c r="W463" s="322">
        <f>ROUND(SUM(I463:T463)-U463,0)</f>
        <v>0</v>
      </c>
    </row>
    <row r="464" spans="1:23" x14ac:dyDescent="0.2">
      <c r="A464" s="1093"/>
      <c r="B464" s="160"/>
      <c r="C464" s="108"/>
      <c r="D464" s="95"/>
      <c r="E464" s="250"/>
      <c r="F464" s="251"/>
      <c r="H464" s="43" t="s">
        <v>267</v>
      </c>
      <c r="I464" s="302" t="str">
        <f>IF($H464="Monthly",$E464/12,IF($H464="Quarterly (From April)",$E464/4,IF($H464="Termly",$E464/3,IF($H464="Monthly (excl. August)",$E464/11,""))))</f>
        <v/>
      </c>
      <c r="J464" s="302" t="str">
        <f t="shared" si="325"/>
        <v/>
      </c>
      <c r="K464" s="302" t="str">
        <f t="shared" si="325"/>
        <v/>
      </c>
      <c r="L464" s="302" t="str">
        <f>IF($H464="Monthly",$E464/12,IF($H464="Quarterly (From April)",$E464/4,IF($H464="Termly",0,IF($H464="Monthly (excl. August)",$E464/11,""))))</f>
        <v/>
      </c>
      <c r="M464" s="302" t="str">
        <f>IF($H464="Monthly",$E464/12,IF($H464="Quarterly (From April)",0,IF($H464="Termly",0,IF($H464="Monthly (excl. August)",0,""))))</f>
        <v/>
      </c>
      <c r="N464" s="302" t="str">
        <f>IF($H464="Monthly",$E464/12,IF($H464="Quarterly (From April)",0,IF($H464="Termly",$E464/3,IF($H464="Monthly (excl. August)",$E464/11,""))))</f>
        <v/>
      </c>
      <c r="O464" s="302" t="str">
        <f>IF($H464="Monthly",$E464/12,IF($H464="Quarterly (From April)",$E464/4,IF($H464="Termly",0,IF($H464="Monthly (excl. August)",$E464/11,""))))</f>
        <v/>
      </c>
      <c r="P464" s="302" t="str">
        <f t="shared" si="326"/>
        <v/>
      </c>
      <c r="Q464" s="302" t="str">
        <f t="shared" si="326"/>
        <v/>
      </c>
      <c r="R464" s="302" t="str">
        <f>IF($H464="Monthly",$E464/12,IF($H464="Quarterly (From April)",$E464/4,IF($H464="Termly",$E464/3,IF($H464="Monthly (excl. August)",$E464/11,""))))</f>
        <v/>
      </c>
      <c r="S464" s="302" t="str">
        <f t="shared" si="327"/>
        <v/>
      </c>
      <c r="T464" s="302" t="str">
        <f t="shared" si="327"/>
        <v/>
      </c>
      <c r="U464" s="303">
        <f>E464</f>
        <v>0</v>
      </c>
      <c r="V464" s="214">
        <f>IF(ROUND(SUM(I464:T464),0)&gt;U464,1,IF(ROUND(SUM(I464:T464),0)&lt;U464,1,0))</f>
        <v>0</v>
      </c>
      <c r="W464" s="322">
        <f>ROUND(SUM(I464:T464)-U464,0)</f>
        <v>0</v>
      </c>
    </row>
    <row r="465" spans="1:23" ht="13.5" thickBot="1" x14ac:dyDescent="0.25">
      <c r="A465" s="1094"/>
      <c r="B465" s="161"/>
      <c r="C465" s="109"/>
      <c r="D465" s="100"/>
      <c r="E465" s="256"/>
      <c r="F465" s="257">
        <f>SUM(E462:E465)</f>
        <v>6216</v>
      </c>
      <c r="H465" s="43" t="s">
        <v>267</v>
      </c>
      <c r="I465" s="302" t="str">
        <f>IF($H465="Monthly",$E465/12,IF($H465="Quarterly (From April)",$E465/4,IF($H465="Termly",$E465/3,IF($H465="Monthly (excl. August)",$E465/11,""))))</f>
        <v/>
      </c>
      <c r="J465" s="302" t="str">
        <f t="shared" si="325"/>
        <v/>
      </c>
      <c r="K465" s="302" t="str">
        <f t="shared" si="325"/>
        <v/>
      </c>
      <c r="L465" s="302" t="str">
        <f>IF($H465="Monthly",$E465/12,IF($H465="Quarterly (From April)",$E465/4,IF($H465="Termly",0,IF($H465="Monthly (excl. August)",$E465/11,""))))</f>
        <v/>
      </c>
      <c r="M465" s="302" t="str">
        <f>IF($H465="Monthly",$E465/12,IF($H465="Quarterly (From April)",0,IF($H465="Termly",0,IF($H465="Monthly (excl. August)",0,""))))</f>
        <v/>
      </c>
      <c r="N465" s="302" t="str">
        <f>IF($H465="Monthly",$E465/12,IF($H465="Quarterly (From April)",0,IF($H465="Termly",$E465/3,IF($H465="Monthly (excl. August)",$E465/11,""))))</f>
        <v/>
      </c>
      <c r="O465" s="302" t="str">
        <f>IF($H465="Monthly",$E465/12,IF($H465="Quarterly (From April)",$E465/4,IF($H465="Termly",0,IF($H465="Monthly (excl. August)",$E465/11,""))))</f>
        <v/>
      </c>
      <c r="P465" s="302" t="str">
        <f t="shared" si="326"/>
        <v/>
      </c>
      <c r="Q465" s="302" t="str">
        <f t="shared" si="326"/>
        <v/>
      </c>
      <c r="R465" s="302" t="str">
        <f>IF($H465="Monthly",$E465/12,IF($H465="Quarterly (From April)",$E465/4,IF($H465="Termly",$E465/3,IF($H465="Monthly (excl. August)",$E465/11,""))))</f>
        <v/>
      </c>
      <c r="S465" s="302" t="str">
        <f t="shared" si="327"/>
        <v/>
      </c>
      <c r="T465" s="302" t="str">
        <f t="shared" si="327"/>
        <v/>
      </c>
      <c r="U465" s="303">
        <f>E465</f>
        <v>0</v>
      </c>
      <c r="V465" s="214">
        <f>IF(ROUND(SUM(I465:T465),0)&gt;U465,1,IF(ROUND(SUM(I465:T465),0)&lt;U465,1,0))</f>
        <v>0</v>
      </c>
      <c r="W465" s="322">
        <f>ROUND(SUM(I465:T465)-U465,0)</f>
        <v>0</v>
      </c>
    </row>
    <row r="466" spans="1:23" ht="13.5" thickBot="1" x14ac:dyDescent="0.25">
      <c r="A466" s="45"/>
      <c r="B466" s="119"/>
      <c r="C466" s="111"/>
      <c r="D466" s="107"/>
      <c r="E466" s="267"/>
      <c r="F466" s="270"/>
      <c r="I466" s="306"/>
      <c r="J466" s="306"/>
      <c r="K466" s="306"/>
      <c r="L466" s="306"/>
      <c r="M466" s="306"/>
      <c r="N466" s="306"/>
      <c r="O466" s="306"/>
      <c r="P466" s="306"/>
      <c r="Q466" s="306"/>
      <c r="R466" s="306"/>
      <c r="S466" s="306"/>
      <c r="T466" s="306"/>
      <c r="U466" s="305"/>
      <c r="W466" s="322"/>
    </row>
    <row r="467" spans="1:23" ht="12.75" customHeight="1" x14ac:dyDescent="0.2">
      <c r="A467" s="1092" t="s">
        <v>1065</v>
      </c>
      <c r="B467" s="170"/>
      <c r="C467" s="113"/>
      <c r="D467" s="93"/>
      <c r="E467" s="246">
        <v>16730</v>
      </c>
      <c r="F467" s="247"/>
      <c r="H467" s="43" t="s">
        <v>294</v>
      </c>
      <c r="I467" s="302">
        <f>IF($H467="Monthly",$E467/12,IF($H467="Quarterly (From April)",$E467/4,IF($H467="Termly",$E467/3,IF($H467="Monthly (excl. August)",$E467/11,""))))</f>
        <v>1520.909090909091</v>
      </c>
      <c r="J467" s="302">
        <f t="shared" ref="J467:K470" si="328">IF($H467="Monthly",$E467/12,IF($H467="Quarterly (From April)",0,IF($H467="Termly",0,IF($H467="Monthly (excl. August)",$E467/11,""))))</f>
        <v>1520.909090909091</v>
      </c>
      <c r="K467" s="302">
        <f t="shared" si="328"/>
        <v>1520.909090909091</v>
      </c>
      <c r="L467" s="302">
        <f>IF($H467="Monthly",$E467/12,IF($H467="Quarterly (From April)",$E467/4,IF($H467="Termly",0,IF($H467="Monthly (excl. August)",$E467/11,""))))</f>
        <v>1520.909090909091</v>
      </c>
      <c r="M467" s="302">
        <f>IF($H467="Monthly",$E467/12,IF($H467="Quarterly (From April)",0,IF($H467="Termly",0,IF($H467="Monthly (excl. August)",0,""))))</f>
        <v>0</v>
      </c>
      <c r="N467" s="302">
        <f>IF($H467="Monthly",$E467/12,IF($H467="Quarterly (From April)",0,IF($H467="Termly",$E467/3,IF($H467="Monthly (excl. August)",$E467/11,""))))</f>
        <v>1520.909090909091</v>
      </c>
      <c r="O467" s="302">
        <f>IF($H467="Monthly",$E467/12,IF($H467="Quarterly (From April)",$E467/4,IF($H467="Termly",0,IF($H467="Monthly (excl. August)",$E467/11,""))))</f>
        <v>1520.909090909091</v>
      </c>
      <c r="P467" s="302">
        <f t="shared" ref="P467:Q470" si="329">IF($H467="Monthly",$E467/12,IF($H467="Quarterly (From April)",0,IF($H467="Termly",0,IF($H467="Monthly (excl. August)",$E467/11,""))))</f>
        <v>1520.909090909091</v>
      </c>
      <c r="Q467" s="302">
        <f t="shared" si="329"/>
        <v>1520.909090909091</v>
      </c>
      <c r="R467" s="302">
        <f>IF($H467="Monthly",$E467/12,IF($H467="Quarterly (From April)",$E467/4,IF($H467="Termly",$E467/3,IF($H467="Monthly (excl. August)",$E467/11,""))))</f>
        <v>1520.909090909091</v>
      </c>
      <c r="S467" s="302">
        <f t="shared" ref="S467:T470" si="330">IF($H467="Monthly",$E467/12,IF($H467="Quarterly (From April)",0,IF($H467="Termly",0,IF($H467="Monthly (excl. August)",$E467/11,""))))</f>
        <v>1520.909090909091</v>
      </c>
      <c r="T467" s="302">
        <f t="shared" si="330"/>
        <v>1520.909090909091</v>
      </c>
      <c r="U467" s="303">
        <f>E467</f>
        <v>16730</v>
      </c>
      <c r="V467" s="214">
        <f>IF(ROUND(SUM(I467:T467),0)&gt;U467,1,IF(ROUND(SUM(I467:T467),0)&lt;U467,1,0))</f>
        <v>0</v>
      </c>
      <c r="W467" s="322">
        <f>ROUND(SUM(I467:T467)-U467,0)</f>
        <v>0</v>
      </c>
    </row>
    <row r="468" spans="1:23" x14ac:dyDescent="0.2">
      <c r="A468" s="1093"/>
      <c r="B468" s="160"/>
      <c r="C468" s="108"/>
      <c r="D468" s="95"/>
      <c r="E468" s="250"/>
      <c r="F468" s="251"/>
      <c r="H468" s="43" t="s">
        <v>267</v>
      </c>
      <c r="I468" s="302" t="str">
        <f>IF($H468="Monthly",$E468/12,IF($H468="Quarterly (From April)",$E468/4,IF($H468="Termly",$E468/3,IF($H468="Monthly (excl. August)",$E468/11,""))))</f>
        <v/>
      </c>
      <c r="J468" s="302" t="str">
        <f t="shared" si="328"/>
        <v/>
      </c>
      <c r="K468" s="302" t="str">
        <f t="shared" si="328"/>
        <v/>
      </c>
      <c r="L468" s="302" t="str">
        <f>IF($H468="Monthly",$E468/12,IF($H468="Quarterly (From April)",$E468/4,IF($H468="Termly",0,IF($H468="Monthly (excl. August)",$E468/11,""))))</f>
        <v/>
      </c>
      <c r="M468" s="302" t="str">
        <f>IF($H468="Monthly",$E468/12,IF($H468="Quarterly (From April)",0,IF($H468="Termly",0,IF($H468="Monthly (excl. August)",0,""))))</f>
        <v/>
      </c>
      <c r="N468" s="302" t="str">
        <f>IF($H468="Monthly",$E468/12,IF($H468="Quarterly (From April)",0,IF($H468="Termly",$E468/3,IF($H468="Monthly (excl. August)",$E468/11,""))))</f>
        <v/>
      </c>
      <c r="O468" s="302" t="str">
        <f>IF($H468="Monthly",$E468/12,IF($H468="Quarterly (From April)",$E468/4,IF($H468="Termly",0,IF($H468="Monthly (excl. August)",$E468/11,""))))</f>
        <v/>
      </c>
      <c r="P468" s="302" t="str">
        <f t="shared" si="329"/>
        <v/>
      </c>
      <c r="Q468" s="302" t="str">
        <f t="shared" si="329"/>
        <v/>
      </c>
      <c r="R468" s="302" t="str">
        <f>IF($H468="Monthly",$E468/12,IF($H468="Quarterly (From April)",$E468/4,IF($H468="Termly",$E468/3,IF($H468="Monthly (excl. August)",$E468/11,""))))</f>
        <v/>
      </c>
      <c r="S468" s="302" t="str">
        <f t="shared" si="330"/>
        <v/>
      </c>
      <c r="T468" s="302" t="str">
        <f t="shared" si="330"/>
        <v/>
      </c>
      <c r="U468" s="303">
        <f>E468</f>
        <v>0</v>
      </c>
      <c r="V468" s="214">
        <f>IF(ROUND(SUM(I468:T468),0)&gt;U468,1,IF(ROUND(SUM(I468:T468),0)&lt;U468,1,0))</f>
        <v>0</v>
      </c>
      <c r="W468" s="322">
        <f>ROUND(SUM(I468:T468)-U468,0)</f>
        <v>0</v>
      </c>
    </row>
    <row r="469" spans="1:23" x14ac:dyDescent="0.2">
      <c r="A469" s="1093"/>
      <c r="B469" s="160"/>
      <c r="C469" s="108"/>
      <c r="D469" s="95"/>
      <c r="E469" s="250"/>
      <c r="F469" s="251"/>
      <c r="H469" s="43" t="s">
        <v>267</v>
      </c>
      <c r="I469" s="302" t="str">
        <f>IF($H469="Monthly",$E469/12,IF($H469="Quarterly (From April)",$E469/4,IF($H469="Termly",$E469/3,IF($H469="Monthly (excl. August)",$E469/11,""))))</f>
        <v/>
      </c>
      <c r="J469" s="302" t="str">
        <f t="shared" si="328"/>
        <v/>
      </c>
      <c r="K469" s="302" t="str">
        <f t="shared" si="328"/>
        <v/>
      </c>
      <c r="L469" s="302" t="str">
        <f>IF($H469="Monthly",$E469/12,IF($H469="Quarterly (From April)",$E469/4,IF($H469="Termly",0,IF($H469="Monthly (excl. August)",$E469/11,""))))</f>
        <v/>
      </c>
      <c r="M469" s="302" t="str">
        <f>IF($H469="Monthly",$E469/12,IF($H469="Quarterly (From April)",0,IF($H469="Termly",0,IF($H469="Monthly (excl. August)",0,""))))</f>
        <v/>
      </c>
      <c r="N469" s="302" t="str">
        <f>IF($H469="Monthly",$E469/12,IF($H469="Quarterly (From April)",0,IF($H469="Termly",$E469/3,IF($H469="Monthly (excl. August)",$E469/11,""))))</f>
        <v/>
      </c>
      <c r="O469" s="302" t="str">
        <f>IF($H469="Monthly",$E469/12,IF($H469="Quarterly (From April)",$E469/4,IF($H469="Termly",0,IF($H469="Monthly (excl. August)",$E469/11,""))))</f>
        <v/>
      </c>
      <c r="P469" s="302" t="str">
        <f t="shared" si="329"/>
        <v/>
      </c>
      <c r="Q469" s="302" t="str">
        <f t="shared" si="329"/>
        <v/>
      </c>
      <c r="R469" s="302" t="str">
        <f>IF($H469="Monthly",$E469/12,IF($H469="Quarterly (From April)",$E469/4,IF($H469="Termly",$E469/3,IF($H469="Monthly (excl. August)",$E469/11,""))))</f>
        <v/>
      </c>
      <c r="S469" s="302" t="str">
        <f t="shared" si="330"/>
        <v/>
      </c>
      <c r="T469" s="302" t="str">
        <f t="shared" si="330"/>
        <v/>
      </c>
      <c r="U469" s="303">
        <f>E469</f>
        <v>0</v>
      </c>
      <c r="V469" s="214">
        <f>IF(ROUND(SUM(I469:T469),0)&gt;U469,1,IF(ROUND(SUM(I469:T469),0)&lt;U469,1,0))</f>
        <v>0</v>
      </c>
      <c r="W469" s="322">
        <f>ROUND(SUM(I469:T469)-U469,0)</f>
        <v>0</v>
      </c>
    </row>
    <row r="470" spans="1:23" ht="13.5" thickBot="1" x14ac:dyDescent="0.25">
      <c r="A470" s="1094"/>
      <c r="B470" s="161"/>
      <c r="C470" s="109"/>
      <c r="D470" s="100"/>
      <c r="E470" s="256"/>
      <c r="F470" s="257">
        <f>SUM(E467:E470)</f>
        <v>16730</v>
      </c>
      <c r="H470" s="43" t="s">
        <v>267</v>
      </c>
      <c r="I470" s="302" t="str">
        <f>IF($H470="Monthly",$E470/12,IF($H470="Quarterly (From April)",$E470/4,IF($H470="Termly",$E470/3,IF($H470="Monthly (excl. August)",$E470/11,""))))</f>
        <v/>
      </c>
      <c r="J470" s="302" t="str">
        <f t="shared" si="328"/>
        <v/>
      </c>
      <c r="K470" s="302" t="str">
        <f t="shared" si="328"/>
        <v/>
      </c>
      <c r="L470" s="302" t="str">
        <f>IF($H470="Monthly",$E470/12,IF($H470="Quarterly (From April)",$E470/4,IF($H470="Termly",0,IF($H470="Monthly (excl. August)",$E470/11,""))))</f>
        <v/>
      </c>
      <c r="M470" s="302" t="str">
        <f>IF($H470="Monthly",$E470/12,IF($H470="Quarterly (From April)",0,IF($H470="Termly",0,IF($H470="Monthly (excl. August)",0,""))))</f>
        <v/>
      </c>
      <c r="N470" s="302" t="str">
        <f>IF($H470="Monthly",$E470/12,IF($H470="Quarterly (From April)",0,IF($H470="Termly",$E470/3,IF($H470="Monthly (excl. August)",$E470/11,""))))</f>
        <v/>
      </c>
      <c r="O470" s="302" t="str">
        <f>IF($H470="Monthly",$E470/12,IF($H470="Quarterly (From April)",$E470/4,IF($H470="Termly",0,IF($H470="Monthly (excl. August)",$E470/11,""))))</f>
        <v/>
      </c>
      <c r="P470" s="302" t="str">
        <f t="shared" si="329"/>
        <v/>
      </c>
      <c r="Q470" s="302" t="str">
        <f t="shared" si="329"/>
        <v/>
      </c>
      <c r="R470" s="302" t="str">
        <f>IF($H470="Monthly",$E470/12,IF($H470="Quarterly (From April)",$E470/4,IF($H470="Termly",$E470/3,IF($H470="Monthly (excl. August)",$E470/11,""))))</f>
        <v/>
      </c>
      <c r="S470" s="302" t="str">
        <f t="shared" si="330"/>
        <v/>
      </c>
      <c r="T470" s="302" t="str">
        <f t="shared" si="330"/>
        <v/>
      </c>
      <c r="U470" s="303">
        <f>E470</f>
        <v>0</v>
      </c>
      <c r="V470" s="214">
        <f>IF(ROUND(SUM(I470:T470),0)&gt;U470,1,IF(ROUND(SUM(I470:T470),0)&lt;U470,1,0))</f>
        <v>0</v>
      </c>
      <c r="W470" s="322">
        <f>ROUND(SUM(I470:T470)-U470,0)</f>
        <v>0</v>
      </c>
    </row>
    <row r="471" spans="1:23" ht="13.5" thickBot="1" x14ac:dyDescent="0.25">
      <c r="A471" s="45"/>
      <c r="B471" s="119"/>
      <c r="C471" s="111"/>
      <c r="D471" s="107"/>
      <c r="E471" s="267"/>
      <c r="F471" s="270"/>
      <c r="I471" s="306"/>
      <c r="J471" s="306"/>
      <c r="K471" s="306"/>
      <c r="L471" s="306"/>
      <c r="M471" s="306"/>
      <c r="N471" s="306"/>
      <c r="O471" s="306"/>
      <c r="P471" s="306"/>
      <c r="Q471" s="306"/>
      <c r="R471" s="306"/>
      <c r="S471" s="306"/>
      <c r="T471" s="306"/>
      <c r="U471" s="305"/>
      <c r="W471" s="322"/>
    </row>
    <row r="472" spans="1:23" ht="12.75" customHeight="1" x14ac:dyDescent="0.2">
      <c r="A472" s="1092" t="s">
        <v>1066</v>
      </c>
      <c r="B472" s="170"/>
      <c r="C472" s="113"/>
      <c r="D472" s="93"/>
      <c r="E472" s="246">
        <v>9826</v>
      </c>
      <c r="F472" s="247"/>
      <c r="H472" s="43" t="s">
        <v>294</v>
      </c>
      <c r="I472" s="302">
        <f>IF($H472="Monthly",$E472/12,IF($H472="Quarterly (From April)",$E472/4,IF($H472="Termly",$E472/3,IF($H472="Monthly (excl. August)",$E472/11,""))))</f>
        <v>893.27272727272725</v>
      </c>
      <c r="J472" s="302">
        <f t="shared" ref="J472:K475" si="331">IF($H472="Monthly",$E472/12,IF($H472="Quarterly (From April)",0,IF($H472="Termly",0,IF($H472="Monthly (excl. August)",$E472/11,""))))</f>
        <v>893.27272727272725</v>
      </c>
      <c r="K472" s="302">
        <f t="shared" si="331"/>
        <v>893.27272727272725</v>
      </c>
      <c r="L472" s="302">
        <f>IF($H472="Monthly",$E472/12,IF($H472="Quarterly (From April)",$E472/4,IF($H472="Termly",0,IF($H472="Monthly (excl. August)",$E472/11,""))))</f>
        <v>893.27272727272725</v>
      </c>
      <c r="M472" s="302">
        <f>IF($H472="Monthly",$E472/12,IF($H472="Quarterly (From April)",0,IF($H472="Termly",0,IF($H472="Monthly (excl. August)",0,""))))</f>
        <v>0</v>
      </c>
      <c r="N472" s="302">
        <f>IF($H472="Monthly",$E472/12,IF($H472="Quarterly (From April)",0,IF($H472="Termly",$E472/3,IF($H472="Monthly (excl. August)",$E472/11,""))))</f>
        <v>893.27272727272725</v>
      </c>
      <c r="O472" s="302">
        <f>IF($H472="Monthly",$E472/12,IF($H472="Quarterly (From April)",$E472/4,IF($H472="Termly",0,IF($H472="Monthly (excl. August)",$E472/11,""))))</f>
        <v>893.27272727272725</v>
      </c>
      <c r="P472" s="302">
        <f t="shared" ref="P472:Q475" si="332">IF($H472="Monthly",$E472/12,IF($H472="Quarterly (From April)",0,IF($H472="Termly",0,IF($H472="Monthly (excl. August)",$E472/11,""))))</f>
        <v>893.27272727272725</v>
      </c>
      <c r="Q472" s="302">
        <f t="shared" si="332"/>
        <v>893.27272727272725</v>
      </c>
      <c r="R472" s="302">
        <f>IF($H472="Monthly",$E472/12,IF($H472="Quarterly (From April)",$E472/4,IF($H472="Termly",$E472/3,IF($H472="Monthly (excl. August)",$E472/11,""))))</f>
        <v>893.27272727272725</v>
      </c>
      <c r="S472" s="302">
        <f t="shared" ref="S472:T475" si="333">IF($H472="Monthly",$E472/12,IF($H472="Quarterly (From April)",0,IF($H472="Termly",0,IF($H472="Monthly (excl. August)",$E472/11,""))))</f>
        <v>893.27272727272725</v>
      </c>
      <c r="T472" s="302">
        <f t="shared" si="333"/>
        <v>893.27272727272725</v>
      </c>
      <c r="U472" s="303">
        <f>E472</f>
        <v>9826</v>
      </c>
      <c r="V472" s="214">
        <f>IF(ROUND(SUM(I472:T472),0)&gt;U472,1,IF(ROUND(SUM(I472:T472),0)&lt;U472,1,0))</f>
        <v>0</v>
      </c>
      <c r="W472" s="322">
        <f>ROUND(SUM(I472:T472)-U472,0)</f>
        <v>0</v>
      </c>
    </row>
    <row r="473" spans="1:23" x14ac:dyDescent="0.2">
      <c r="A473" s="1093"/>
      <c r="B473" s="160"/>
      <c r="C473" s="108"/>
      <c r="D473" s="95"/>
      <c r="E473" s="250"/>
      <c r="F473" s="251"/>
      <c r="H473" s="43" t="s">
        <v>267</v>
      </c>
      <c r="I473" s="302" t="str">
        <f>IF($H473="Monthly",$E473/12,IF($H473="Quarterly (From April)",$E473/4,IF($H473="Termly",$E473/3,IF($H473="Monthly (excl. August)",$E473/11,""))))</f>
        <v/>
      </c>
      <c r="J473" s="302" t="str">
        <f t="shared" si="331"/>
        <v/>
      </c>
      <c r="K473" s="302" t="str">
        <f t="shared" si="331"/>
        <v/>
      </c>
      <c r="L473" s="302" t="str">
        <f>IF($H473="Monthly",$E473/12,IF($H473="Quarterly (From April)",$E473/4,IF($H473="Termly",0,IF($H473="Monthly (excl. August)",$E473/11,""))))</f>
        <v/>
      </c>
      <c r="M473" s="302" t="str">
        <f>IF($H473="Monthly",$E473/12,IF($H473="Quarterly (From April)",0,IF($H473="Termly",0,IF($H473="Monthly (excl. August)",0,""))))</f>
        <v/>
      </c>
      <c r="N473" s="302" t="str">
        <f>IF($H473="Monthly",$E473/12,IF($H473="Quarterly (From April)",0,IF($H473="Termly",$E473/3,IF($H473="Monthly (excl. August)",$E473/11,""))))</f>
        <v/>
      </c>
      <c r="O473" s="302" t="str">
        <f>IF($H473="Monthly",$E473/12,IF($H473="Quarterly (From April)",$E473/4,IF($H473="Termly",0,IF($H473="Monthly (excl. August)",$E473/11,""))))</f>
        <v/>
      </c>
      <c r="P473" s="302" t="str">
        <f t="shared" si="332"/>
        <v/>
      </c>
      <c r="Q473" s="302" t="str">
        <f t="shared" si="332"/>
        <v/>
      </c>
      <c r="R473" s="302" t="str">
        <f>IF($H473="Monthly",$E473/12,IF($H473="Quarterly (From April)",$E473/4,IF($H473="Termly",$E473/3,IF($H473="Monthly (excl. August)",$E473/11,""))))</f>
        <v/>
      </c>
      <c r="S473" s="302" t="str">
        <f t="shared" si="333"/>
        <v/>
      </c>
      <c r="T473" s="302" t="str">
        <f t="shared" si="333"/>
        <v/>
      </c>
      <c r="U473" s="303">
        <f>E473</f>
        <v>0</v>
      </c>
      <c r="V473" s="214">
        <f>IF(ROUND(SUM(I473:T473),0)&gt;U473,1,IF(ROUND(SUM(I473:T473),0)&lt;U473,1,0))</f>
        <v>0</v>
      </c>
      <c r="W473" s="322">
        <f>ROUND(SUM(I473:T473)-U473,0)</f>
        <v>0</v>
      </c>
    </row>
    <row r="474" spans="1:23" x14ac:dyDescent="0.2">
      <c r="A474" s="1093"/>
      <c r="B474" s="160"/>
      <c r="C474" s="108"/>
      <c r="D474" s="95"/>
      <c r="E474" s="250"/>
      <c r="F474" s="251"/>
      <c r="H474" s="43" t="s">
        <v>267</v>
      </c>
      <c r="I474" s="302" t="str">
        <f>IF($H474="Monthly",$E474/12,IF($H474="Quarterly (From April)",$E474/4,IF($H474="Termly",$E474/3,IF($H474="Monthly (excl. August)",$E474/11,""))))</f>
        <v/>
      </c>
      <c r="J474" s="302" t="str">
        <f t="shared" si="331"/>
        <v/>
      </c>
      <c r="K474" s="302" t="str">
        <f t="shared" si="331"/>
        <v/>
      </c>
      <c r="L474" s="302" t="str">
        <f>IF($H474="Monthly",$E474/12,IF($H474="Quarterly (From April)",$E474/4,IF($H474="Termly",0,IF($H474="Monthly (excl. August)",$E474/11,""))))</f>
        <v/>
      </c>
      <c r="M474" s="302" t="str">
        <f>IF($H474="Monthly",$E474/12,IF($H474="Quarterly (From April)",0,IF($H474="Termly",0,IF($H474="Monthly (excl. August)",0,""))))</f>
        <v/>
      </c>
      <c r="N474" s="302" t="str">
        <f>IF($H474="Monthly",$E474/12,IF($H474="Quarterly (From April)",0,IF($H474="Termly",$E474/3,IF($H474="Monthly (excl. August)",$E474/11,""))))</f>
        <v/>
      </c>
      <c r="O474" s="302" t="str">
        <f>IF($H474="Monthly",$E474/12,IF($H474="Quarterly (From April)",$E474/4,IF($H474="Termly",0,IF($H474="Monthly (excl. August)",$E474/11,""))))</f>
        <v/>
      </c>
      <c r="P474" s="302" t="str">
        <f t="shared" si="332"/>
        <v/>
      </c>
      <c r="Q474" s="302" t="str">
        <f t="shared" si="332"/>
        <v/>
      </c>
      <c r="R474" s="302" t="str">
        <f>IF($H474="Monthly",$E474/12,IF($H474="Quarterly (From April)",$E474/4,IF($H474="Termly",$E474/3,IF($H474="Monthly (excl. August)",$E474/11,""))))</f>
        <v/>
      </c>
      <c r="S474" s="302" t="str">
        <f t="shared" si="333"/>
        <v/>
      </c>
      <c r="T474" s="302" t="str">
        <f t="shared" si="333"/>
        <v/>
      </c>
      <c r="U474" s="303">
        <f>E474</f>
        <v>0</v>
      </c>
      <c r="V474" s="214">
        <f>IF(ROUND(SUM(I474:T474),0)&gt;U474,1,IF(ROUND(SUM(I474:T474),0)&lt;U474,1,0))</f>
        <v>0</v>
      </c>
      <c r="W474" s="322">
        <f>ROUND(SUM(I474:T474)-U474,0)</f>
        <v>0</v>
      </c>
    </row>
    <row r="475" spans="1:23" ht="13.5" thickBot="1" x14ac:dyDescent="0.25">
      <c r="A475" s="1094"/>
      <c r="B475" s="161"/>
      <c r="C475" s="109"/>
      <c r="D475" s="100"/>
      <c r="E475" s="256"/>
      <c r="F475" s="257">
        <f>SUM(E472:E475)</f>
        <v>9826</v>
      </c>
      <c r="H475" s="43" t="s">
        <v>267</v>
      </c>
      <c r="I475" s="302" t="str">
        <f>IF($H475="Monthly",$E475/12,IF($H475="Quarterly (From April)",$E475/4,IF($H475="Termly",$E475/3,IF($H475="Monthly (excl. August)",$E475/11,""))))</f>
        <v/>
      </c>
      <c r="J475" s="302" t="str">
        <f t="shared" si="331"/>
        <v/>
      </c>
      <c r="K475" s="302" t="str">
        <f t="shared" si="331"/>
        <v/>
      </c>
      <c r="L475" s="302" t="str">
        <f>IF($H475="Monthly",$E475/12,IF($H475="Quarterly (From April)",$E475/4,IF($H475="Termly",0,IF($H475="Monthly (excl. August)",$E475/11,""))))</f>
        <v/>
      </c>
      <c r="M475" s="302" t="str">
        <f>IF($H475="Monthly",$E475/12,IF($H475="Quarterly (From April)",0,IF($H475="Termly",0,IF($H475="Monthly (excl. August)",0,""))))</f>
        <v/>
      </c>
      <c r="N475" s="302" t="str">
        <f>IF($H475="Monthly",$E475/12,IF($H475="Quarterly (From April)",0,IF($H475="Termly",$E475/3,IF($H475="Monthly (excl. August)",$E475/11,""))))</f>
        <v/>
      </c>
      <c r="O475" s="302" t="str">
        <f>IF($H475="Monthly",$E475/12,IF($H475="Quarterly (From April)",$E475/4,IF($H475="Termly",0,IF($H475="Monthly (excl. August)",$E475/11,""))))</f>
        <v/>
      </c>
      <c r="P475" s="302" t="str">
        <f t="shared" si="332"/>
        <v/>
      </c>
      <c r="Q475" s="302" t="str">
        <f t="shared" si="332"/>
        <v/>
      </c>
      <c r="R475" s="302" t="str">
        <f>IF($H475="Monthly",$E475/12,IF($H475="Quarterly (From April)",$E475/4,IF($H475="Termly",$E475/3,IF($H475="Monthly (excl. August)",$E475/11,""))))</f>
        <v/>
      </c>
      <c r="S475" s="302" t="str">
        <f t="shared" si="333"/>
        <v/>
      </c>
      <c r="T475" s="302" t="str">
        <f t="shared" si="333"/>
        <v/>
      </c>
      <c r="U475" s="303">
        <f>E475</f>
        <v>0</v>
      </c>
      <c r="V475" s="214">
        <f>IF(ROUND(SUM(I475:T475),0)&gt;U475,1,IF(ROUND(SUM(I475:T475),0)&lt;U475,1,0))</f>
        <v>0</v>
      </c>
      <c r="W475" s="322">
        <f>ROUND(SUM(I475:T475)-U475,0)</f>
        <v>0</v>
      </c>
    </row>
    <row r="476" spans="1:23" ht="13.5" thickBot="1" x14ac:dyDescent="0.25">
      <c r="A476" s="45"/>
      <c r="B476" s="119"/>
      <c r="C476" s="111"/>
      <c r="D476" s="107"/>
      <c r="E476" s="267"/>
      <c r="F476" s="270"/>
      <c r="I476" s="306"/>
      <c r="J476" s="306"/>
      <c r="K476" s="306"/>
      <c r="L476" s="306"/>
      <c r="M476" s="306"/>
      <c r="N476" s="306"/>
      <c r="O476" s="306"/>
      <c r="P476" s="306"/>
      <c r="Q476" s="306"/>
      <c r="R476" s="306"/>
      <c r="S476" s="306"/>
      <c r="T476" s="306"/>
      <c r="U476" s="305"/>
      <c r="W476" s="322"/>
    </row>
    <row r="477" spans="1:23" ht="12.75" customHeight="1" x14ac:dyDescent="0.2">
      <c r="A477" s="1092" t="s">
        <v>530</v>
      </c>
      <c r="B477" s="170"/>
      <c r="C477" s="113"/>
      <c r="D477" s="93"/>
      <c r="E477" s="246"/>
      <c r="F477" s="247"/>
      <c r="H477" s="43" t="s">
        <v>267</v>
      </c>
      <c r="I477" s="302" t="str">
        <f>IF($H477="Monthly",$E477/12,IF($H477="Quarterly (From April)",$E477/4,IF($H477="Termly",$E477/3,IF($H477="Monthly (excl. August)",$E477/11,""))))</f>
        <v/>
      </c>
      <c r="J477" s="302" t="str">
        <f t="shared" ref="J477:K480" si="334">IF($H477="Monthly",$E477/12,IF($H477="Quarterly (From April)",0,IF($H477="Termly",0,IF($H477="Monthly (excl. August)",$E477/11,""))))</f>
        <v/>
      </c>
      <c r="K477" s="302" t="str">
        <f t="shared" si="334"/>
        <v/>
      </c>
      <c r="L477" s="302" t="str">
        <f>IF($H477="Monthly",$E477/12,IF($H477="Quarterly (From April)",$E477/4,IF($H477="Termly",0,IF($H477="Monthly (excl. August)",$E477/11,""))))</f>
        <v/>
      </c>
      <c r="M477" s="302" t="str">
        <f>IF($H477="Monthly",$E477/12,IF($H477="Quarterly (From April)",0,IF($H477="Termly",0,IF($H477="Monthly (excl. August)",0,""))))</f>
        <v/>
      </c>
      <c r="N477" s="302" t="str">
        <f>IF($H477="Monthly",$E477/12,IF($H477="Quarterly (From April)",0,IF($H477="Termly",$E477/3,IF($H477="Monthly (excl. August)",$E477/11,""))))</f>
        <v/>
      </c>
      <c r="O477" s="302" t="str">
        <f>IF($H477="Monthly",$E477/12,IF($H477="Quarterly (From April)",$E477/4,IF($H477="Termly",0,IF($H477="Monthly (excl. August)",$E477/11,""))))</f>
        <v/>
      </c>
      <c r="P477" s="302" t="str">
        <f t="shared" ref="P477:Q480" si="335">IF($H477="Monthly",$E477/12,IF($H477="Quarterly (From April)",0,IF($H477="Termly",0,IF($H477="Monthly (excl. August)",$E477/11,""))))</f>
        <v/>
      </c>
      <c r="Q477" s="302" t="str">
        <f t="shared" si="335"/>
        <v/>
      </c>
      <c r="R477" s="302" t="str">
        <f>IF($H477="Monthly",$E477/12,IF($H477="Quarterly (From April)",$E477/4,IF($H477="Termly",$E477/3,IF($H477="Monthly (excl. August)",$E477/11,""))))</f>
        <v/>
      </c>
      <c r="S477" s="302" t="str">
        <f t="shared" ref="S477:T480" si="336">IF($H477="Monthly",$E477/12,IF($H477="Quarterly (From April)",0,IF($H477="Termly",0,IF($H477="Monthly (excl. August)",$E477/11,""))))</f>
        <v/>
      </c>
      <c r="T477" s="302" t="str">
        <f t="shared" si="336"/>
        <v/>
      </c>
      <c r="U477" s="303">
        <f>E477</f>
        <v>0</v>
      </c>
      <c r="V477" s="214">
        <f>IF(ROUND(SUM(I477:T477),0)&gt;U477,1,IF(ROUND(SUM(I477:T477),0)&lt;U477,1,0))</f>
        <v>0</v>
      </c>
      <c r="W477" s="322">
        <f>ROUND(SUM(I477:T477)-U477,0)</f>
        <v>0</v>
      </c>
    </row>
    <row r="478" spans="1:23" x14ac:dyDescent="0.2">
      <c r="A478" s="1093"/>
      <c r="B478" s="160"/>
      <c r="C478" s="108"/>
      <c r="D478" s="95"/>
      <c r="E478" s="250"/>
      <c r="F478" s="251"/>
      <c r="H478" s="43" t="s">
        <v>267</v>
      </c>
      <c r="I478" s="302" t="str">
        <f>IF($H478="Monthly",$E478/12,IF($H478="Quarterly (From April)",$E478/4,IF($H478="Termly",$E478/3,IF($H478="Monthly (excl. August)",$E478/11,""))))</f>
        <v/>
      </c>
      <c r="J478" s="302" t="str">
        <f t="shared" si="334"/>
        <v/>
      </c>
      <c r="K478" s="302" t="str">
        <f t="shared" si="334"/>
        <v/>
      </c>
      <c r="L478" s="302" t="str">
        <f>IF($H478="Monthly",$E478/12,IF($H478="Quarterly (From April)",$E478/4,IF($H478="Termly",0,IF($H478="Monthly (excl. August)",$E478/11,""))))</f>
        <v/>
      </c>
      <c r="M478" s="302" t="str">
        <f>IF($H478="Monthly",$E478/12,IF($H478="Quarterly (From April)",0,IF($H478="Termly",0,IF($H478="Monthly (excl. August)",0,""))))</f>
        <v/>
      </c>
      <c r="N478" s="302" t="str">
        <f>IF($H478="Monthly",$E478/12,IF($H478="Quarterly (From April)",0,IF($H478="Termly",$E478/3,IF($H478="Monthly (excl. August)",$E478/11,""))))</f>
        <v/>
      </c>
      <c r="O478" s="302" t="str">
        <f>IF($H478="Monthly",$E478/12,IF($H478="Quarterly (From April)",$E478/4,IF($H478="Termly",0,IF($H478="Monthly (excl. August)",$E478/11,""))))</f>
        <v/>
      </c>
      <c r="P478" s="302" t="str">
        <f t="shared" si="335"/>
        <v/>
      </c>
      <c r="Q478" s="302" t="str">
        <f t="shared" si="335"/>
        <v/>
      </c>
      <c r="R478" s="302" t="str">
        <f>IF($H478="Monthly",$E478/12,IF($H478="Quarterly (From April)",$E478/4,IF($H478="Termly",$E478/3,IF($H478="Monthly (excl. August)",$E478/11,""))))</f>
        <v/>
      </c>
      <c r="S478" s="302" t="str">
        <f t="shared" si="336"/>
        <v/>
      </c>
      <c r="T478" s="302" t="str">
        <f t="shared" si="336"/>
        <v/>
      </c>
      <c r="U478" s="303">
        <f>E478</f>
        <v>0</v>
      </c>
      <c r="V478" s="214">
        <f>IF(ROUND(SUM(I478:T478),0)&gt;U478,1,IF(ROUND(SUM(I478:T478),0)&lt;U478,1,0))</f>
        <v>0</v>
      </c>
      <c r="W478" s="322">
        <f>ROUND(SUM(I478:T478)-U478,0)</f>
        <v>0</v>
      </c>
    </row>
    <row r="479" spans="1:23" x14ac:dyDescent="0.2">
      <c r="A479" s="1093"/>
      <c r="B479" s="160"/>
      <c r="C479" s="108"/>
      <c r="D479" s="95"/>
      <c r="E479" s="250"/>
      <c r="F479" s="251"/>
      <c r="H479" s="43" t="s">
        <v>267</v>
      </c>
      <c r="I479" s="302" t="str">
        <f>IF($H479="Monthly",$E479/12,IF($H479="Quarterly (From April)",$E479/4,IF($H479="Termly",$E479/3,IF($H479="Monthly (excl. August)",$E479/11,""))))</f>
        <v/>
      </c>
      <c r="J479" s="302" t="str">
        <f t="shared" si="334"/>
        <v/>
      </c>
      <c r="K479" s="302" t="str">
        <f t="shared" si="334"/>
        <v/>
      </c>
      <c r="L479" s="302" t="str">
        <f>IF($H479="Monthly",$E479/12,IF($H479="Quarterly (From April)",$E479/4,IF($H479="Termly",0,IF($H479="Monthly (excl. August)",$E479/11,""))))</f>
        <v/>
      </c>
      <c r="M479" s="302" t="str">
        <f>IF($H479="Monthly",$E479/12,IF($H479="Quarterly (From April)",0,IF($H479="Termly",0,IF($H479="Monthly (excl. August)",0,""))))</f>
        <v/>
      </c>
      <c r="N479" s="302" t="str">
        <f>IF($H479="Monthly",$E479/12,IF($H479="Quarterly (From April)",0,IF($H479="Termly",$E479/3,IF($H479="Monthly (excl. August)",$E479/11,""))))</f>
        <v/>
      </c>
      <c r="O479" s="302" t="str">
        <f>IF($H479="Monthly",$E479/12,IF($H479="Quarterly (From April)",$E479/4,IF($H479="Termly",0,IF($H479="Monthly (excl. August)",$E479/11,""))))</f>
        <v/>
      </c>
      <c r="P479" s="302" t="str">
        <f t="shared" si="335"/>
        <v/>
      </c>
      <c r="Q479" s="302" t="str">
        <f t="shared" si="335"/>
        <v/>
      </c>
      <c r="R479" s="302" t="str">
        <f>IF($H479="Monthly",$E479/12,IF($H479="Quarterly (From April)",$E479/4,IF($H479="Termly",$E479/3,IF($H479="Monthly (excl. August)",$E479/11,""))))</f>
        <v/>
      </c>
      <c r="S479" s="302" t="str">
        <f t="shared" si="336"/>
        <v/>
      </c>
      <c r="T479" s="302" t="str">
        <f t="shared" si="336"/>
        <v/>
      </c>
      <c r="U479" s="303">
        <f>E479</f>
        <v>0</v>
      </c>
      <c r="V479" s="214">
        <f>IF(ROUND(SUM(I479:T479),0)&gt;U479,1,IF(ROUND(SUM(I479:T479),0)&lt;U479,1,0))</f>
        <v>0</v>
      </c>
      <c r="W479" s="322">
        <f>ROUND(SUM(I479:T479)-U479,0)</f>
        <v>0</v>
      </c>
    </row>
    <row r="480" spans="1:23" ht="13.5" thickBot="1" x14ac:dyDescent="0.25">
      <c r="A480" s="1094"/>
      <c r="B480" s="161"/>
      <c r="C480" s="109"/>
      <c r="D480" s="100"/>
      <c r="E480" s="256"/>
      <c r="F480" s="257">
        <f>SUM(E477:E480)</f>
        <v>0</v>
      </c>
      <c r="H480" s="43" t="s">
        <v>267</v>
      </c>
      <c r="I480" s="302" t="str">
        <f>IF($H480="Monthly",$E480/12,IF($H480="Quarterly (From April)",$E480/4,IF($H480="Termly",$E480/3,IF($H480="Monthly (excl. August)",$E480/11,""))))</f>
        <v/>
      </c>
      <c r="J480" s="302" t="str">
        <f t="shared" si="334"/>
        <v/>
      </c>
      <c r="K480" s="302" t="str">
        <f t="shared" si="334"/>
        <v/>
      </c>
      <c r="L480" s="302" t="str">
        <f>IF($H480="Monthly",$E480/12,IF($H480="Quarterly (From April)",$E480/4,IF($H480="Termly",0,IF($H480="Monthly (excl. August)",$E480/11,""))))</f>
        <v/>
      </c>
      <c r="M480" s="302" t="str">
        <f>IF($H480="Monthly",$E480/12,IF($H480="Quarterly (From April)",0,IF($H480="Termly",0,IF($H480="Monthly (excl. August)",0,""))))</f>
        <v/>
      </c>
      <c r="N480" s="302" t="str">
        <f>IF($H480="Monthly",$E480/12,IF($H480="Quarterly (From April)",0,IF($H480="Termly",$E480/3,IF($H480="Monthly (excl. August)",$E480/11,""))))</f>
        <v/>
      </c>
      <c r="O480" s="302" t="str">
        <f>IF($H480="Monthly",$E480/12,IF($H480="Quarterly (From April)",$E480/4,IF($H480="Termly",0,IF($H480="Monthly (excl. August)",$E480/11,""))))</f>
        <v/>
      </c>
      <c r="P480" s="302" t="str">
        <f t="shared" si="335"/>
        <v/>
      </c>
      <c r="Q480" s="302" t="str">
        <f t="shared" si="335"/>
        <v/>
      </c>
      <c r="R480" s="302" t="str">
        <f>IF($H480="Monthly",$E480/12,IF($H480="Quarterly (From April)",$E480/4,IF($H480="Termly",$E480/3,IF($H480="Monthly (excl. August)",$E480/11,""))))</f>
        <v/>
      </c>
      <c r="S480" s="302" t="str">
        <f t="shared" si="336"/>
        <v/>
      </c>
      <c r="T480" s="302" t="str">
        <f t="shared" si="336"/>
        <v/>
      </c>
      <c r="U480" s="303">
        <f>E480</f>
        <v>0</v>
      </c>
      <c r="V480" s="214">
        <f>IF(ROUND(SUM(I480:T480),0)&gt;U480,1,IF(ROUND(SUM(I480:T480),0)&lt;U480,1,0))</f>
        <v>0</v>
      </c>
      <c r="W480" s="322">
        <f>ROUND(SUM(I480:T480)-U480,0)</f>
        <v>0</v>
      </c>
    </row>
    <row r="481" spans="1:23" ht="13.5" thickBot="1" x14ac:dyDescent="0.25">
      <c r="A481" s="45"/>
      <c r="B481" s="119"/>
      <c r="C481" s="111"/>
      <c r="D481" s="107"/>
      <c r="E481" s="267"/>
      <c r="F481" s="270"/>
      <c r="I481" s="306"/>
      <c r="J481" s="306"/>
      <c r="K481" s="306"/>
      <c r="L481" s="306"/>
      <c r="M481" s="306"/>
      <c r="N481" s="306"/>
      <c r="O481" s="306"/>
      <c r="P481" s="306"/>
      <c r="Q481" s="306"/>
      <c r="R481" s="306"/>
      <c r="S481" s="306"/>
      <c r="T481" s="306"/>
      <c r="U481" s="305"/>
      <c r="W481" s="322"/>
    </row>
    <row r="482" spans="1:23" ht="12.75" customHeight="1" x14ac:dyDescent="0.2">
      <c r="A482" s="1092" t="s">
        <v>530</v>
      </c>
      <c r="B482" s="170"/>
      <c r="C482" s="113"/>
      <c r="D482" s="93"/>
      <c r="E482" s="246"/>
      <c r="F482" s="247"/>
      <c r="H482" s="43" t="s">
        <v>267</v>
      </c>
      <c r="I482" s="302" t="str">
        <f>IF($H482="Monthly",$E482/12,IF($H482="Quarterly (From April)",$E482/4,IF($H482="Termly",$E482/3,IF($H482="Monthly (excl. August)",$E482/11,""))))</f>
        <v/>
      </c>
      <c r="J482" s="302" t="str">
        <f t="shared" ref="J482:K485" si="337">IF($H482="Monthly",$E482/12,IF($H482="Quarterly (From April)",0,IF($H482="Termly",0,IF($H482="Monthly (excl. August)",$E482/11,""))))</f>
        <v/>
      </c>
      <c r="K482" s="302" t="str">
        <f t="shared" si="337"/>
        <v/>
      </c>
      <c r="L482" s="302" t="str">
        <f>IF($H482="Monthly",$E482/12,IF($H482="Quarterly (From April)",$E482/4,IF($H482="Termly",0,IF($H482="Monthly (excl. August)",$E482/11,""))))</f>
        <v/>
      </c>
      <c r="M482" s="302" t="str">
        <f>IF($H482="Monthly",$E482/12,IF($H482="Quarterly (From April)",0,IF($H482="Termly",0,IF($H482="Monthly (excl. August)",0,""))))</f>
        <v/>
      </c>
      <c r="N482" s="302" t="str">
        <f>IF($H482="Monthly",$E482/12,IF($H482="Quarterly (From April)",0,IF($H482="Termly",$E482/3,IF($H482="Monthly (excl. August)",$E482/11,""))))</f>
        <v/>
      </c>
      <c r="O482" s="302" t="str">
        <f>IF($H482="Monthly",$E482/12,IF($H482="Quarterly (From April)",$E482/4,IF($H482="Termly",0,IF($H482="Monthly (excl. August)",$E482/11,""))))</f>
        <v/>
      </c>
      <c r="P482" s="302" t="str">
        <f t="shared" ref="P482:Q485" si="338">IF($H482="Monthly",$E482/12,IF($H482="Quarterly (From April)",0,IF($H482="Termly",0,IF($H482="Monthly (excl. August)",$E482/11,""))))</f>
        <v/>
      </c>
      <c r="Q482" s="302" t="str">
        <f t="shared" si="338"/>
        <v/>
      </c>
      <c r="R482" s="302" t="str">
        <f>IF($H482="Monthly",$E482/12,IF($H482="Quarterly (From April)",$E482/4,IF($H482="Termly",$E482/3,IF($H482="Monthly (excl. August)",$E482/11,""))))</f>
        <v/>
      </c>
      <c r="S482" s="302" t="str">
        <f t="shared" ref="S482:T485" si="339">IF($H482="Monthly",$E482/12,IF($H482="Quarterly (From April)",0,IF($H482="Termly",0,IF($H482="Monthly (excl. August)",$E482/11,""))))</f>
        <v/>
      </c>
      <c r="T482" s="302" t="str">
        <f t="shared" si="339"/>
        <v/>
      </c>
      <c r="U482" s="303">
        <f>E482</f>
        <v>0</v>
      </c>
      <c r="V482" s="214">
        <f>IF(ROUND(SUM(I482:T482),0)&gt;U482,1,IF(ROUND(SUM(I482:T482),0)&lt;U482,1,0))</f>
        <v>0</v>
      </c>
      <c r="W482" s="322">
        <f>ROUND(SUM(I482:T482)-U482,0)</f>
        <v>0</v>
      </c>
    </row>
    <row r="483" spans="1:23" x14ac:dyDescent="0.2">
      <c r="A483" s="1093"/>
      <c r="B483" s="160"/>
      <c r="C483" s="108"/>
      <c r="D483" s="95"/>
      <c r="E483" s="250"/>
      <c r="F483" s="251"/>
      <c r="H483" s="43" t="s">
        <v>267</v>
      </c>
      <c r="I483" s="302" t="str">
        <f>IF($H483="Monthly",$E483/12,IF($H483="Quarterly (From April)",$E483/4,IF($H483="Termly",$E483/3,IF($H483="Monthly (excl. August)",$E483/11,""))))</f>
        <v/>
      </c>
      <c r="J483" s="302" t="str">
        <f t="shared" si="337"/>
        <v/>
      </c>
      <c r="K483" s="302" t="str">
        <f t="shared" si="337"/>
        <v/>
      </c>
      <c r="L483" s="302" t="str">
        <f>IF($H483="Monthly",$E483/12,IF($H483="Quarterly (From April)",$E483/4,IF($H483="Termly",0,IF($H483="Monthly (excl. August)",$E483/11,""))))</f>
        <v/>
      </c>
      <c r="M483" s="302" t="str">
        <f>IF($H483="Monthly",$E483/12,IF($H483="Quarterly (From April)",0,IF($H483="Termly",0,IF($H483="Monthly (excl. August)",0,""))))</f>
        <v/>
      </c>
      <c r="N483" s="302" t="str">
        <f>IF($H483="Monthly",$E483/12,IF($H483="Quarterly (From April)",0,IF($H483="Termly",$E483/3,IF($H483="Monthly (excl. August)",$E483/11,""))))</f>
        <v/>
      </c>
      <c r="O483" s="302" t="str">
        <f>IF($H483="Monthly",$E483/12,IF($H483="Quarterly (From April)",$E483/4,IF($H483="Termly",0,IF($H483="Monthly (excl. August)",$E483/11,""))))</f>
        <v/>
      </c>
      <c r="P483" s="302" t="str">
        <f t="shared" si="338"/>
        <v/>
      </c>
      <c r="Q483" s="302" t="str">
        <f t="shared" si="338"/>
        <v/>
      </c>
      <c r="R483" s="302" t="str">
        <f>IF($H483="Monthly",$E483/12,IF($H483="Quarterly (From April)",$E483/4,IF($H483="Termly",$E483/3,IF($H483="Monthly (excl. August)",$E483/11,""))))</f>
        <v/>
      </c>
      <c r="S483" s="302" t="str">
        <f t="shared" si="339"/>
        <v/>
      </c>
      <c r="T483" s="302" t="str">
        <f t="shared" si="339"/>
        <v/>
      </c>
      <c r="U483" s="303">
        <f>E483</f>
        <v>0</v>
      </c>
      <c r="V483" s="214">
        <f>IF(ROUND(SUM(I483:T483),0)&gt;U483,1,IF(ROUND(SUM(I483:T483),0)&lt;U483,1,0))</f>
        <v>0</v>
      </c>
      <c r="W483" s="322">
        <f>ROUND(SUM(I483:T483)-U483,0)</f>
        <v>0</v>
      </c>
    </row>
    <row r="484" spans="1:23" x14ac:dyDescent="0.2">
      <c r="A484" s="1093"/>
      <c r="B484" s="160"/>
      <c r="C484" s="108"/>
      <c r="D484" s="95"/>
      <c r="E484" s="250"/>
      <c r="F484" s="251"/>
      <c r="H484" s="43" t="s">
        <v>267</v>
      </c>
      <c r="I484" s="302" t="str">
        <f>IF($H484="Monthly",$E484/12,IF($H484="Quarterly (From April)",$E484/4,IF($H484="Termly",$E484/3,IF($H484="Monthly (excl. August)",$E484/11,""))))</f>
        <v/>
      </c>
      <c r="J484" s="302" t="str">
        <f t="shared" si="337"/>
        <v/>
      </c>
      <c r="K484" s="302" t="str">
        <f t="shared" si="337"/>
        <v/>
      </c>
      <c r="L484" s="302" t="str">
        <f>IF($H484="Monthly",$E484/12,IF($H484="Quarterly (From April)",$E484/4,IF($H484="Termly",0,IF($H484="Monthly (excl. August)",$E484/11,""))))</f>
        <v/>
      </c>
      <c r="M484" s="302" t="str">
        <f>IF($H484="Monthly",$E484/12,IF($H484="Quarterly (From April)",0,IF($H484="Termly",0,IF($H484="Monthly (excl. August)",0,""))))</f>
        <v/>
      </c>
      <c r="N484" s="302" t="str">
        <f>IF($H484="Monthly",$E484/12,IF($H484="Quarterly (From April)",0,IF($H484="Termly",$E484/3,IF($H484="Monthly (excl. August)",$E484/11,""))))</f>
        <v/>
      </c>
      <c r="O484" s="302" t="str">
        <f>IF($H484="Monthly",$E484/12,IF($H484="Quarterly (From April)",$E484/4,IF($H484="Termly",0,IF($H484="Monthly (excl. August)",$E484/11,""))))</f>
        <v/>
      </c>
      <c r="P484" s="302" t="str">
        <f t="shared" si="338"/>
        <v/>
      </c>
      <c r="Q484" s="302" t="str">
        <f t="shared" si="338"/>
        <v/>
      </c>
      <c r="R484" s="302" t="str">
        <f>IF($H484="Monthly",$E484/12,IF($H484="Quarterly (From April)",$E484/4,IF($H484="Termly",$E484/3,IF($H484="Monthly (excl. August)",$E484/11,""))))</f>
        <v/>
      </c>
      <c r="S484" s="302" t="str">
        <f t="shared" si="339"/>
        <v/>
      </c>
      <c r="T484" s="302" t="str">
        <f t="shared" si="339"/>
        <v/>
      </c>
      <c r="U484" s="303">
        <f>E484</f>
        <v>0</v>
      </c>
      <c r="V484" s="214">
        <f>IF(ROUND(SUM(I484:T484),0)&gt;U484,1,IF(ROUND(SUM(I484:T484),0)&lt;U484,1,0))</f>
        <v>0</v>
      </c>
      <c r="W484" s="322">
        <f>ROUND(SUM(I484:T484)-U484,0)</f>
        <v>0</v>
      </c>
    </row>
    <row r="485" spans="1:23" ht="13.5" thickBot="1" x14ac:dyDescent="0.25">
      <c r="A485" s="1094"/>
      <c r="B485" s="161"/>
      <c r="C485" s="109"/>
      <c r="D485" s="100"/>
      <c r="E485" s="256"/>
      <c r="F485" s="257">
        <f>SUM(E482:E485)</f>
        <v>0</v>
      </c>
      <c r="H485" s="43" t="s">
        <v>267</v>
      </c>
      <c r="I485" s="302" t="str">
        <f>IF($H485="Monthly",$E485/12,IF($H485="Quarterly (From April)",$E485/4,IF($H485="Termly",$E485/3,IF($H485="Monthly (excl. August)",$E485/11,""))))</f>
        <v/>
      </c>
      <c r="J485" s="302" t="str">
        <f t="shared" si="337"/>
        <v/>
      </c>
      <c r="K485" s="302" t="str">
        <f t="shared" si="337"/>
        <v/>
      </c>
      <c r="L485" s="302" t="str">
        <f>IF($H485="Monthly",$E485/12,IF($H485="Quarterly (From April)",$E485/4,IF($H485="Termly",0,IF($H485="Monthly (excl. August)",$E485/11,""))))</f>
        <v/>
      </c>
      <c r="M485" s="302" t="str">
        <f>IF($H485="Monthly",$E485/12,IF($H485="Quarterly (From April)",0,IF($H485="Termly",0,IF($H485="Monthly (excl. August)",0,""))))</f>
        <v/>
      </c>
      <c r="N485" s="302" t="str">
        <f>IF($H485="Monthly",$E485/12,IF($H485="Quarterly (From April)",0,IF($H485="Termly",$E485/3,IF($H485="Monthly (excl. August)",$E485/11,""))))</f>
        <v/>
      </c>
      <c r="O485" s="302" t="str">
        <f>IF($H485="Monthly",$E485/12,IF($H485="Quarterly (From April)",$E485/4,IF($H485="Termly",0,IF($H485="Monthly (excl. August)",$E485/11,""))))</f>
        <v/>
      </c>
      <c r="P485" s="302" t="str">
        <f t="shared" si="338"/>
        <v/>
      </c>
      <c r="Q485" s="302" t="str">
        <f t="shared" si="338"/>
        <v/>
      </c>
      <c r="R485" s="302" t="str">
        <f>IF($H485="Monthly",$E485/12,IF($H485="Quarterly (From April)",$E485/4,IF($H485="Termly",$E485/3,IF($H485="Monthly (excl. August)",$E485/11,""))))</f>
        <v/>
      </c>
      <c r="S485" s="302" t="str">
        <f t="shared" si="339"/>
        <v/>
      </c>
      <c r="T485" s="302" t="str">
        <f t="shared" si="339"/>
        <v/>
      </c>
      <c r="U485" s="303">
        <f>E485</f>
        <v>0</v>
      </c>
      <c r="V485" s="214">
        <f>IF(ROUND(SUM(I485:T485),0)&gt;U485,1,IF(ROUND(SUM(I485:T485),0)&lt;U485,1,0))</f>
        <v>0</v>
      </c>
      <c r="W485" s="322">
        <f>ROUND(SUM(I485:T485)-U485,0)</f>
        <v>0</v>
      </c>
    </row>
    <row r="486" spans="1:23" ht="13.5" thickBot="1" x14ac:dyDescent="0.25">
      <c r="A486" s="45"/>
      <c r="B486" s="119"/>
      <c r="C486" s="111"/>
      <c r="D486" s="107"/>
      <c r="E486" s="267"/>
      <c r="F486" s="270"/>
      <c r="I486" s="306"/>
      <c r="J486" s="306"/>
      <c r="K486" s="306"/>
      <c r="L486" s="306"/>
      <c r="M486" s="306"/>
      <c r="N486" s="306"/>
      <c r="O486" s="306"/>
      <c r="P486" s="306"/>
      <c r="Q486" s="306"/>
      <c r="R486" s="306"/>
      <c r="S486" s="306"/>
      <c r="T486" s="306"/>
      <c r="U486" s="305"/>
      <c r="W486" s="322"/>
    </row>
    <row r="487" spans="1:23" ht="12.75" customHeight="1" x14ac:dyDescent="0.2">
      <c r="A487" s="1092" t="s">
        <v>530</v>
      </c>
      <c r="B487" s="170"/>
      <c r="C487" s="113"/>
      <c r="D487" s="93"/>
      <c r="E487" s="246"/>
      <c r="F487" s="247"/>
      <c r="H487" s="43" t="s">
        <v>267</v>
      </c>
      <c r="I487" s="302" t="str">
        <f>IF($H487="Monthly",$E487/12,IF($H487="Quarterly (From April)",$E487/4,IF($H487="Termly",$E487/3,IF($H487="Monthly (excl. August)",$E487/11,""))))</f>
        <v/>
      </c>
      <c r="J487" s="302" t="str">
        <f t="shared" ref="J487:K490" si="340">IF($H487="Monthly",$E487/12,IF($H487="Quarterly (From April)",0,IF($H487="Termly",0,IF($H487="Monthly (excl. August)",$E487/11,""))))</f>
        <v/>
      </c>
      <c r="K487" s="302" t="str">
        <f t="shared" si="340"/>
        <v/>
      </c>
      <c r="L487" s="302" t="str">
        <f>IF($H487="Monthly",$E487/12,IF($H487="Quarterly (From April)",$E487/4,IF($H487="Termly",0,IF($H487="Monthly (excl. August)",$E487/11,""))))</f>
        <v/>
      </c>
      <c r="M487" s="302" t="str">
        <f>IF($H487="Monthly",$E487/12,IF($H487="Quarterly (From April)",0,IF($H487="Termly",0,IF($H487="Monthly (excl. August)",0,""))))</f>
        <v/>
      </c>
      <c r="N487" s="302" t="str">
        <f>IF($H487="Monthly",$E487/12,IF($H487="Quarterly (From April)",0,IF($H487="Termly",$E487/3,IF($H487="Monthly (excl. August)",$E487/11,""))))</f>
        <v/>
      </c>
      <c r="O487" s="302" t="str">
        <f>IF($H487="Monthly",$E487/12,IF($H487="Quarterly (From April)",$E487/4,IF($H487="Termly",0,IF($H487="Monthly (excl. August)",$E487/11,""))))</f>
        <v/>
      </c>
      <c r="P487" s="302" t="str">
        <f t="shared" ref="P487:Q490" si="341">IF($H487="Monthly",$E487/12,IF($H487="Quarterly (From April)",0,IF($H487="Termly",0,IF($H487="Monthly (excl. August)",$E487/11,""))))</f>
        <v/>
      </c>
      <c r="Q487" s="302" t="str">
        <f t="shared" si="341"/>
        <v/>
      </c>
      <c r="R487" s="302" t="str">
        <f>IF($H487="Monthly",$E487/12,IF($H487="Quarterly (From April)",$E487/4,IF($H487="Termly",$E487/3,IF($H487="Monthly (excl. August)",$E487/11,""))))</f>
        <v/>
      </c>
      <c r="S487" s="302" t="str">
        <f t="shared" ref="S487:T490" si="342">IF($H487="Monthly",$E487/12,IF($H487="Quarterly (From April)",0,IF($H487="Termly",0,IF($H487="Monthly (excl. August)",$E487/11,""))))</f>
        <v/>
      </c>
      <c r="T487" s="302" t="str">
        <f t="shared" si="342"/>
        <v/>
      </c>
      <c r="U487" s="303">
        <f>E487</f>
        <v>0</v>
      </c>
      <c r="V487" s="214">
        <f>IF(ROUND(SUM(I487:T487),0)&gt;U487,1,IF(ROUND(SUM(I487:T487),0)&lt;U487,1,0))</f>
        <v>0</v>
      </c>
      <c r="W487" s="322">
        <f>ROUND(SUM(I487:T487)-U487,0)</f>
        <v>0</v>
      </c>
    </row>
    <row r="488" spans="1:23" x14ac:dyDescent="0.2">
      <c r="A488" s="1093"/>
      <c r="B488" s="160"/>
      <c r="C488" s="108"/>
      <c r="D488" s="95"/>
      <c r="E488" s="250"/>
      <c r="F488" s="251"/>
      <c r="H488" s="43" t="s">
        <v>267</v>
      </c>
      <c r="I488" s="302" t="str">
        <f>IF($H488="Monthly",$E488/12,IF($H488="Quarterly (From April)",$E488/4,IF($H488="Termly",$E488/3,IF($H488="Monthly (excl. August)",$E488/11,""))))</f>
        <v/>
      </c>
      <c r="J488" s="302" t="str">
        <f t="shared" si="340"/>
        <v/>
      </c>
      <c r="K488" s="302" t="str">
        <f t="shared" si="340"/>
        <v/>
      </c>
      <c r="L488" s="302" t="str">
        <f>IF($H488="Monthly",$E488/12,IF($H488="Quarterly (From April)",$E488/4,IF($H488="Termly",0,IF($H488="Monthly (excl. August)",$E488/11,""))))</f>
        <v/>
      </c>
      <c r="M488" s="302" t="str">
        <f>IF($H488="Monthly",$E488/12,IF($H488="Quarterly (From April)",0,IF($H488="Termly",0,IF($H488="Monthly (excl. August)",0,""))))</f>
        <v/>
      </c>
      <c r="N488" s="302" t="str">
        <f>IF($H488="Monthly",$E488/12,IF($H488="Quarterly (From April)",0,IF($H488="Termly",$E488/3,IF($H488="Monthly (excl. August)",$E488/11,""))))</f>
        <v/>
      </c>
      <c r="O488" s="302" t="str">
        <f>IF($H488="Monthly",$E488/12,IF($H488="Quarterly (From April)",$E488/4,IF($H488="Termly",0,IF($H488="Monthly (excl. August)",$E488/11,""))))</f>
        <v/>
      </c>
      <c r="P488" s="302" t="str">
        <f t="shared" si="341"/>
        <v/>
      </c>
      <c r="Q488" s="302" t="str">
        <f t="shared" si="341"/>
        <v/>
      </c>
      <c r="R488" s="302" t="str">
        <f>IF($H488="Monthly",$E488/12,IF($H488="Quarterly (From April)",$E488/4,IF($H488="Termly",$E488/3,IF($H488="Monthly (excl. August)",$E488/11,""))))</f>
        <v/>
      </c>
      <c r="S488" s="302" t="str">
        <f t="shared" si="342"/>
        <v/>
      </c>
      <c r="T488" s="302" t="str">
        <f t="shared" si="342"/>
        <v/>
      </c>
      <c r="U488" s="303">
        <f>E488</f>
        <v>0</v>
      </c>
      <c r="V488" s="214">
        <f>IF(ROUND(SUM(I488:T488),0)&gt;U488,1,IF(ROUND(SUM(I488:T488),0)&lt;U488,1,0))</f>
        <v>0</v>
      </c>
      <c r="W488" s="322">
        <f>ROUND(SUM(I488:T488)-U488,0)</f>
        <v>0</v>
      </c>
    </row>
    <row r="489" spans="1:23" x14ac:dyDescent="0.2">
      <c r="A489" s="1093"/>
      <c r="B489" s="160"/>
      <c r="C489" s="108"/>
      <c r="D489" s="95"/>
      <c r="E489" s="250"/>
      <c r="F489" s="251"/>
      <c r="H489" s="43" t="s">
        <v>267</v>
      </c>
      <c r="I489" s="302" t="str">
        <f>IF($H489="Monthly",$E489/12,IF($H489="Quarterly (From April)",$E489/4,IF($H489="Termly",$E489/3,IF($H489="Monthly (excl. August)",$E489/11,""))))</f>
        <v/>
      </c>
      <c r="J489" s="302" t="str">
        <f t="shared" si="340"/>
        <v/>
      </c>
      <c r="K489" s="302" t="str">
        <f t="shared" si="340"/>
        <v/>
      </c>
      <c r="L489" s="302" t="str">
        <f>IF($H489="Monthly",$E489/12,IF($H489="Quarterly (From April)",$E489/4,IF($H489="Termly",0,IF($H489="Monthly (excl. August)",$E489/11,""))))</f>
        <v/>
      </c>
      <c r="M489" s="302" t="str">
        <f>IF($H489="Monthly",$E489/12,IF($H489="Quarterly (From April)",0,IF($H489="Termly",0,IF($H489="Monthly (excl. August)",0,""))))</f>
        <v/>
      </c>
      <c r="N489" s="302" t="str">
        <f>IF($H489="Monthly",$E489/12,IF($H489="Quarterly (From April)",0,IF($H489="Termly",$E489/3,IF($H489="Monthly (excl. August)",$E489/11,""))))</f>
        <v/>
      </c>
      <c r="O489" s="302" t="str">
        <f>IF($H489="Monthly",$E489/12,IF($H489="Quarterly (From April)",$E489/4,IF($H489="Termly",0,IF($H489="Monthly (excl. August)",$E489/11,""))))</f>
        <v/>
      </c>
      <c r="P489" s="302" t="str">
        <f t="shared" si="341"/>
        <v/>
      </c>
      <c r="Q489" s="302" t="str">
        <f t="shared" si="341"/>
        <v/>
      </c>
      <c r="R489" s="302" t="str">
        <f>IF($H489="Monthly",$E489/12,IF($H489="Quarterly (From April)",$E489/4,IF($H489="Termly",$E489/3,IF($H489="Monthly (excl. August)",$E489/11,""))))</f>
        <v/>
      </c>
      <c r="S489" s="302" t="str">
        <f t="shared" si="342"/>
        <v/>
      </c>
      <c r="T489" s="302" t="str">
        <f t="shared" si="342"/>
        <v/>
      </c>
      <c r="U489" s="303">
        <f>E489</f>
        <v>0</v>
      </c>
      <c r="V489" s="214">
        <f>IF(ROUND(SUM(I489:T489),0)&gt;U489,1,IF(ROUND(SUM(I489:T489),0)&lt;U489,1,0))</f>
        <v>0</v>
      </c>
      <c r="W489" s="322">
        <f>ROUND(SUM(I489:T489)-U489,0)</f>
        <v>0</v>
      </c>
    </row>
    <row r="490" spans="1:23" ht="13.5" thickBot="1" x14ac:dyDescent="0.25">
      <c r="A490" s="1094"/>
      <c r="B490" s="161"/>
      <c r="C490" s="109"/>
      <c r="D490" s="100"/>
      <c r="E490" s="256"/>
      <c r="F490" s="257">
        <f>SUM(E487:E490)</f>
        <v>0</v>
      </c>
      <c r="H490" s="43" t="s">
        <v>267</v>
      </c>
      <c r="I490" s="302" t="str">
        <f>IF($H490="Monthly",$E490/12,IF($H490="Quarterly (From April)",$E490/4,IF($H490="Termly",$E490/3,IF($H490="Monthly (excl. August)",$E490/11,""))))</f>
        <v/>
      </c>
      <c r="J490" s="302" t="str">
        <f t="shared" si="340"/>
        <v/>
      </c>
      <c r="K490" s="302" t="str">
        <f t="shared" si="340"/>
        <v/>
      </c>
      <c r="L490" s="302" t="str">
        <f>IF($H490="Monthly",$E490/12,IF($H490="Quarterly (From April)",$E490/4,IF($H490="Termly",0,IF($H490="Monthly (excl. August)",$E490/11,""))))</f>
        <v/>
      </c>
      <c r="M490" s="302" t="str">
        <f>IF($H490="Monthly",$E490/12,IF($H490="Quarterly (From April)",0,IF($H490="Termly",0,IF($H490="Monthly (excl. August)",0,""))))</f>
        <v/>
      </c>
      <c r="N490" s="302" t="str">
        <f>IF($H490="Monthly",$E490/12,IF($H490="Quarterly (From April)",0,IF($H490="Termly",$E490/3,IF($H490="Monthly (excl. August)",$E490/11,""))))</f>
        <v/>
      </c>
      <c r="O490" s="302" t="str">
        <f>IF($H490="Monthly",$E490/12,IF($H490="Quarterly (From April)",$E490/4,IF($H490="Termly",0,IF($H490="Monthly (excl. August)",$E490/11,""))))</f>
        <v/>
      </c>
      <c r="P490" s="302" t="str">
        <f t="shared" si="341"/>
        <v/>
      </c>
      <c r="Q490" s="302" t="str">
        <f t="shared" si="341"/>
        <v/>
      </c>
      <c r="R490" s="302" t="str">
        <f>IF($H490="Monthly",$E490/12,IF($H490="Quarterly (From April)",$E490/4,IF($H490="Termly",$E490/3,IF($H490="Monthly (excl. August)",$E490/11,""))))</f>
        <v/>
      </c>
      <c r="S490" s="302" t="str">
        <f t="shared" si="342"/>
        <v/>
      </c>
      <c r="T490" s="302" t="str">
        <f t="shared" si="342"/>
        <v/>
      </c>
      <c r="U490" s="303">
        <f>E490</f>
        <v>0</v>
      </c>
      <c r="V490" s="214">
        <f>IF(ROUND(SUM(I490:T490),0)&gt;U490,1,IF(ROUND(SUM(I490:T490),0)&lt;U490,1,0))</f>
        <v>0</v>
      </c>
      <c r="W490" s="322">
        <f>ROUND(SUM(I490:T490)-U490,0)</f>
        <v>0</v>
      </c>
    </row>
    <row r="491" spans="1:23" ht="13.5" thickBot="1" x14ac:dyDescent="0.25">
      <c r="A491" s="45"/>
      <c r="B491" s="119"/>
      <c r="C491" s="111"/>
      <c r="D491" s="107"/>
      <c r="E491" s="267"/>
      <c r="F491" s="270"/>
      <c r="I491" s="306"/>
      <c r="J491" s="306"/>
      <c r="K491" s="306"/>
      <c r="L491" s="306"/>
      <c r="M491" s="306"/>
      <c r="N491" s="306"/>
      <c r="O491" s="306"/>
      <c r="P491" s="306"/>
      <c r="Q491" s="306"/>
      <c r="R491" s="306"/>
      <c r="S491" s="306"/>
      <c r="T491" s="306"/>
      <c r="U491" s="305"/>
      <c r="W491" s="322"/>
    </row>
    <row r="492" spans="1:23" ht="12.75" customHeight="1" x14ac:dyDescent="0.2">
      <c r="A492" s="1092" t="s">
        <v>530</v>
      </c>
      <c r="B492" s="170"/>
      <c r="C492" s="113"/>
      <c r="D492" s="93"/>
      <c r="E492" s="246"/>
      <c r="F492" s="247"/>
      <c r="H492" s="43" t="s">
        <v>267</v>
      </c>
      <c r="I492" s="302" t="str">
        <f>IF($H492="Monthly",$E492/12,IF($H492="Quarterly (From April)",$E492/4,IF($H492="Termly",$E492/3,IF($H492="Monthly (excl. August)",$E492/11,""))))</f>
        <v/>
      </c>
      <c r="J492" s="302" t="str">
        <f t="shared" ref="J492:K495" si="343">IF($H492="Monthly",$E492/12,IF($H492="Quarterly (From April)",0,IF($H492="Termly",0,IF($H492="Monthly (excl. August)",$E492/11,""))))</f>
        <v/>
      </c>
      <c r="K492" s="302" t="str">
        <f t="shared" si="343"/>
        <v/>
      </c>
      <c r="L492" s="302" t="str">
        <f>IF($H492="Monthly",$E492/12,IF($H492="Quarterly (From April)",$E492/4,IF($H492="Termly",0,IF($H492="Monthly (excl. August)",$E492/11,""))))</f>
        <v/>
      </c>
      <c r="M492" s="302" t="str">
        <f>IF($H492="Monthly",$E492/12,IF($H492="Quarterly (From April)",0,IF($H492="Termly",0,IF($H492="Monthly (excl. August)",0,""))))</f>
        <v/>
      </c>
      <c r="N492" s="302" t="str">
        <f>IF($H492="Monthly",$E492/12,IF($H492="Quarterly (From April)",0,IF($H492="Termly",$E492/3,IF($H492="Monthly (excl. August)",$E492/11,""))))</f>
        <v/>
      </c>
      <c r="O492" s="302" t="str">
        <f>IF($H492="Monthly",$E492/12,IF($H492="Quarterly (From April)",$E492/4,IF($H492="Termly",0,IF($H492="Monthly (excl. August)",$E492/11,""))))</f>
        <v/>
      </c>
      <c r="P492" s="302" t="str">
        <f t="shared" ref="P492:Q495" si="344">IF($H492="Monthly",$E492/12,IF($H492="Quarterly (From April)",0,IF($H492="Termly",0,IF($H492="Monthly (excl. August)",$E492/11,""))))</f>
        <v/>
      </c>
      <c r="Q492" s="302" t="str">
        <f t="shared" si="344"/>
        <v/>
      </c>
      <c r="R492" s="302" t="str">
        <f>IF($H492="Monthly",$E492/12,IF($H492="Quarterly (From April)",$E492/4,IF($H492="Termly",$E492/3,IF($H492="Monthly (excl. August)",$E492/11,""))))</f>
        <v/>
      </c>
      <c r="S492" s="302" t="str">
        <f t="shared" ref="S492:T495" si="345">IF($H492="Monthly",$E492/12,IF($H492="Quarterly (From April)",0,IF($H492="Termly",0,IF($H492="Monthly (excl. August)",$E492/11,""))))</f>
        <v/>
      </c>
      <c r="T492" s="302" t="str">
        <f t="shared" si="345"/>
        <v/>
      </c>
      <c r="U492" s="303">
        <f>E492</f>
        <v>0</v>
      </c>
      <c r="V492" s="214">
        <f>IF(ROUND(SUM(I492:T492),0)&gt;U492,1,IF(ROUND(SUM(I492:T492),0)&lt;U492,1,0))</f>
        <v>0</v>
      </c>
      <c r="W492" s="322">
        <f>ROUND(SUM(I492:T492)-U492,0)</f>
        <v>0</v>
      </c>
    </row>
    <row r="493" spans="1:23" x14ac:dyDescent="0.2">
      <c r="A493" s="1093"/>
      <c r="B493" s="160"/>
      <c r="C493" s="108"/>
      <c r="D493" s="95"/>
      <c r="E493" s="250"/>
      <c r="F493" s="251"/>
      <c r="H493" s="43" t="s">
        <v>267</v>
      </c>
      <c r="I493" s="302" t="str">
        <f>IF($H493="Monthly",$E493/12,IF($H493="Quarterly (From April)",$E493/4,IF($H493="Termly",$E493/3,IF($H493="Monthly (excl. August)",$E493/11,""))))</f>
        <v/>
      </c>
      <c r="J493" s="302" t="str">
        <f t="shared" si="343"/>
        <v/>
      </c>
      <c r="K493" s="302" t="str">
        <f t="shared" si="343"/>
        <v/>
      </c>
      <c r="L493" s="302" t="str">
        <f>IF($H493="Monthly",$E493/12,IF($H493="Quarterly (From April)",$E493/4,IF($H493="Termly",0,IF($H493="Monthly (excl. August)",$E493/11,""))))</f>
        <v/>
      </c>
      <c r="M493" s="302" t="str">
        <f>IF($H493="Monthly",$E493/12,IF($H493="Quarterly (From April)",0,IF($H493="Termly",0,IF($H493="Monthly (excl. August)",0,""))))</f>
        <v/>
      </c>
      <c r="N493" s="302" t="str">
        <f>IF($H493="Monthly",$E493/12,IF($H493="Quarterly (From April)",0,IF($H493="Termly",$E493/3,IF($H493="Monthly (excl. August)",$E493/11,""))))</f>
        <v/>
      </c>
      <c r="O493" s="302" t="str">
        <f>IF($H493="Monthly",$E493/12,IF($H493="Quarterly (From April)",$E493/4,IF($H493="Termly",0,IF($H493="Monthly (excl. August)",$E493/11,""))))</f>
        <v/>
      </c>
      <c r="P493" s="302" t="str">
        <f t="shared" si="344"/>
        <v/>
      </c>
      <c r="Q493" s="302" t="str">
        <f t="shared" si="344"/>
        <v/>
      </c>
      <c r="R493" s="302" t="str">
        <f>IF($H493="Monthly",$E493/12,IF($H493="Quarterly (From April)",$E493/4,IF($H493="Termly",$E493/3,IF($H493="Monthly (excl. August)",$E493/11,""))))</f>
        <v/>
      </c>
      <c r="S493" s="302" t="str">
        <f t="shared" si="345"/>
        <v/>
      </c>
      <c r="T493" s="302" t="str">
        <f t="shared" si="345"/>
        <v/>
      </c>
      <c r="U493" s="303">
        <f>E493</f>
        <v>0</v>
      </c>
      <c r="V493" s="214">
        <f>IF(ROUND(SUM(I493:T493),0)&gt;U493,1,IF(ROUND(SUM(I493:T493),0)&lt;U493,1,0))</f>
        <v>0</v>
      </c>
      <c r="W493" s="322">
        <f>ROUND(SUM(I493:T493)-U493,0)</f>
        <v>0</v>
      </c>
    </row>
    <row r="494" spans="1:23" x14ac:dyDescent="0.2">
      <c r="A494" s="1093"/>
      <c r="B494" s="160"/>
      <c r="C494" s="108"/>
      <c r="D494" s="95"/>
      <c r="E494" s="250"/>
      <c r="F494" s="251"/>
      <c r="H494" s="43" t="s">
        <v>267</v>
      </c>
      <c r="I494" s="302" t="str">
        <f>IF($H494="Monthly",$E494/12,IF($H494="Quarterly (From April)",$E494/4,IF($H494="Termly",$E494/3,IF($H494="Monthly (excl. August)",$E494/11,""))))</f>
        <v/>
      </c>
      <c r="J494" s="302" t="str">
        <f t="shared" si="343"/>
        <v/>
      </c>
      <c r="K494" s="302" t="str">
        <f t="shared" si="343"/>
        <v/>
      </c>
      <c r="L494" s="302" t="str">
        <f>IF($H494="Monthly",$E494/12,IF($H494="Quarterly (From April)",$E494/4,IF($H494="Termly",0,IF($H494="Monthly (excl. August)",$E494/11,""))))</f>
        <v/>
      </c>
      <c r="M494" s="302" t="str">
        <f>IF($H494="Monthly",$E494/12,IF($H494="Quarterly (From April)",0,IF($H494="Termly",0,IF($H494="Monthly (excl. August)",0,""))))</f>
        <v/>
      </c>
      <c r="N494" s="302" t="str">
        <f>IF($H494="Monthly",$E494/12,IF($H494="Quarterly (From April)",0,IF($H494="Termly",$E494/3,IF($H494="Monthly (excl. August)",$E494/11,""))))</f>
        <v/>
      </c>
      <c r="O494" s="302" t="str">
        <f>IF($H494="Monthly",$E494/12,IF($H494="Quarterly (From April)",$E494/4,IF($H494="Termly",0,IF($H494="Monthly (excl. August)",$E494/11,""))))</f>
        <v/>
      </c>
      <c r="P494" s="302" t="str">
        <f t="shared" si="344"/>
        <v/>
      </c>
      <c r="Q494" s="302" t="str">
        <f t="shared" si="344"/>
        <v/>
      </c>
      <c r="R494" s="302" t="str">
        <f>IF($H494="Monthly",$E494/12,IF($H494="Quarterly (From April)",$E494/4,IF($H494="Termly",$E494/3,IF($H494="Monthly (excl. August)",$E494/11,""))))</f>
        <v/>
      </c>
      <c r="S494" s="302" t="str">
        <f t="shared" si="345"/>
        <v/>
      </c>
      <c r="T494" s="302" t="str">
        <f t="shared" si="345"/>
        <v/>
      </c>
      <c r="U494" s="303">
        <f>E494</f>
        <v>0</v>
      </c>
      <c r="V494" s="214">
        <f>IF(ROUND(SUM(I494:T494),0)&gt;U494,1,IF(ROUND(SUM(I494:T494),0)&lt;U494,1,0))</f>
        <v>0</v>
      </c>
      <c r="W494" s="322">
        <f>ROUND(SUM(I494:T494)-U494,0)</f>
        <v>0</v>
      </c>
    </row>
    <row r="495" spans="1:23" ht="13.5" thickBot="1" x14ac:dyDescent="0.25">
      <c r="A495" s="1094"/>
      <c r="B495" s="161"/>
      <c r="C495" s="109"/>
      <c r="D495" s="100"/>
      <c r="E495" s="256"/>
      <c r="F495" s="257">
        <f>SUM(E492:E495)</f>
        <v>0</v>
      </c>
      <c r="H495" s="43" t="s">
        <v>267</v>
      </c>
      <c r="I495" s="302" t="str">
        <f>IF($H495="Monthly",$E495/12,IF($H495="Quarterly (From April)",$E495/4,IF($H495="Termly",$E495/3,IF($H495="Monthly (excl. August)",$E495/11,""))))</f>
        <v/>
      </c>
      <c r="J495" s="302" t="str">
        <f t="shared" si="343"/>
        <v/>
      </c>
      <c r="K495" s="302" t="str">
        <f t="shared" si="343"/>
        <v/>
      </c>
      <c r="L495" s="302" t="str">
        <f>IF($H495="Monthly",$E495/12,IF($H495="Quarterly (From April)",$E495/4,IF($H495="Termly",0,IF($H495="Monthly (excl. August)",$E495/11,""))))</f>
        <v/>
      </c>
      <c r="M495" s="302" t="str">
        <f>IF($H495="Monthly",$E495/12,IF($H495="Quarterly (From April)",0,IF($H495="Termly",0,IF($H495="Monthly (excl. August)",0,""))))</f>
        <v/>
      </c>
      <c r="N495" s="302" t="str">
        <f>IF($H495="Monthly",$E495/12,IF($H495="Quarterly (From April)",0,IF($H495="Termly",$E495/3,IF($H495="Monthly (excl. August)",$E495/11,""))))</f>
        <v/>
      </c>
      <c r="O495" s="302" t="str">
        <f>IF($H495="Monthly",$E495/12,IF($H495="Quarterly (From April)",$E495/4,IF($H495="Termly",0,IF($H495="Monthly (excl. August)",$E495/11,""))))</f>
        <v/>
      </c>
      <c r="P495" s="302" t="str">
        <f t="shared" si="344"/>
        <v/>
      </c>
      <c r="Q495" s="302" t="str">
        <f t="shared" si="344"/>
        <v/>
      </c>
      <c r="R495" s="302" t="str">
        <f>IF($H495="Monthly",$E495/12,IF($H495="Quarterly (From April)",$E495/4,IF($H495="Termly",$E495/3,IF($H495="Monthly (excl. August)",$E495/11,""))))</f>
        <v/>
      </c>
      <c r="S495" s="302" t="str">
        <f t="shared" si="345"/>
        <v/>
      </c>
      <c r="T495" s="302" t="str">
        <f t="shared" si="345"/>
        <v/>
      </c>
      <c r="U495" s="303">
        <f>E495</f>
        <v>0</v>
      </c>
      <c r="V495" s="214">
        <f>IF(ROUND(SUM(I495:T495),0)&gt;U495,1,IF(ROUND(SUM(I495:T495),0)&lt;U495,1,0))</f>
        <v>0</v>
      </c>
      <c r="W495" s="322">
        <f>ROUND(SUM(I495:T495)-U495,0)</f>
        <v>0</v>
      </c>
    </row>
    <row r="496" spans="1:23" ht="13.5" thickBot="1" x14ac:dyDescent="0.25">
      <c r="A496" s="45"/>
      <c r="B496" s="119"/>
      <c r="C496" s="111"/>
      <c r="D496" s="107"/>
      <c r="E496" s="267"/>
      <c r="F496" s="270"/>
      <c r="I496" s="306"/>
      <c r="J496" s="306"/>
      <c r="K496" s="306"/>
      <c r="L496" s="306"/>
      <c r="M496" s="306"/>
      <c r="N496" s="306"/>
      <c r="O496" s="306"/>
      <c r="P496" s="306"/>
      <c r="Q496" s="306"/>
      <c r="R496" s="306"/>
      <c r="S496" s="306"/>
      <c r="T496" s="306"/>
      <c r="U496" s="305"/>
      <c r="W496" s="322"/>
    </row>
    <row r="497" spans="1:23" ht="12.75" customHeight="1" x14ac:dyDescent="0.2">
      <c r="A497" s="1092" t="s">
        <v>530</v>
      </c>
      <c r="B497" s="170"/>
      <c r="C497" s="113"/>
      <c r="D497" s="93"/>
      <c r="E497" s="246"/>
      <c r="F497" s="247"/>
      <c r="H497" s="43" t="s">
        <v>267</v>
      </c>
      <c r="I497" s="302" t="str">
        <f>IF($H497="Monthly",$E497/12,IF($H497="Quarterly (From April)",$E497/4,IF($H497="Termly",$E497/3,IF($H497="Monthly (excl. August)",$E497/11,""))))</f>
        <v/>
      </c>
      <c r="J497" s="302" t="str">
        <f t="shared" ref="J497:K500" si="346">IF($H497="Monthly",$E497/12,IF($H497="Quarterly (From April)",0,IF($H497="Termly",0,IF($H497="Monthly (excl. August)",$E497/11,""))))</f>
        <v/>
      </c>
      <c r="K497" s="302" t="str">
        <f t="shared" si="346"/>
        <v/>
      </c>
      <c r="L497" s="302" t="str">
        <f>IF($H497="Monthly",$E497/12,IF($H497="Quarterly (From April)",$E497/4,IF($H497="Termly",0,IF($H497="Monthly (excl. August)",$E497/11,""))))</f>
        <v/>
      </c>
      <c r="M497" s="302" t="str">
        <f>IF($H497="Monthly",$E497/12,IF($H497="Quarterly (From April)",0,IF($H497="Termly",0,IF($H497="Monthly (excl. August)",0,""))))</f>
        <v/>
      </c>
      <c r="N497" s="302" t="str">
        <f>IF($H497="Monthly",$E497/12,IF($H497="Quarterly (From April)",0,IF($H497="Termly",$E497/3,IF($H497="Monthly (excl. August)",$E497/11,""))))</f>
        <v/>
      </c>
      <c r="O497" s="302" t="str">
        <f>IF($H497="Monthly",$E497/12,IF($H497="Quarterly (From April)",$E497/4,IF($H497="Termly",0,IF($H497="Monthly (excl. August)",$E497/11,""))))</f>
        <v/>
      </c>
      <c r="P497" s="302" t="str">
        <f t="shared" ref="P497:Q500" si="347">IF($H497="Monthly",$E497/12,IF($H497="Quarterly (From April)",0,IF($H497="Termly",0,IF($H497="Monthly (excl. August)",$E497/11,""))))</f>
        <v/>
      </c>
      <c r="Q497" s="302" t="str">
        <f t="shared" si="347"/>
        <v/>
      </c>
      <c r="R497" s="302" t="str">
        <f>IF($H497="Monthly",$E497/12,IF($H497="Quarterly (From April)",$E497/4,IF($H497="Termly",$E497/3,IF($H497="Monthly (excl. August)",$E497/11,""))))</f>
        <v/>
      </c>
      <c r="S497" s="302" t="str">
        <f t="shared" ref="S497:T500" si="348">IF($H497="Monthly",$E497/12,IF($H497="Quarterly (From April)",0,IF($H497="Termly",0,IF($H497="Monthly (excl. August)",$E497/11,""))))</f>
        <v/>
      </c>
      <c r="T497" s="302" t="str">
        <f t="shared" si="348"/>
        <v/>
      </c>
      <c r="U497" s="303">
        <f>E497</f>
        <v>0</v>
      </c>
      <c r="V497" s="214">
        <f>IF(ROUND(SUM(I497:T497),0)&gt;U497,1,IF(ROUND(SUM(I497:T497),0)&lt;U497,1,0))</f>
        <v>0</v>
      </c>
      <c r="W497" s="322">
        <f>ROUND(SUM(I497:T497)-U497,0)</f>
        <v>0</v>
      </c>
    </row>
    <row r="498" spans="1:23" x14ac:dyDescent="0.2">
      <c r="A498" s="1093"/>
      <c r="B498" s="160"/>
      <c r="C498" s="108"/>
      <c r="D498" s="95"/>
      <c r="E498" s="250"/>
      <c r="F498" s="251"/>
      <c r="H498" s="43" t="s">
        <v>267</v>
      </c>
      <c r="I498" s="302" t="str">
        <f>IF($H498="Monthly",$E498/12,IF($H498="Quarterly (From April)",$E498/4,IF($H498="Termly",$E498/3,IF($H498="Monthly (excl. August)",$E498/11,""))))</f>
        <v/>
      </c>
      <c r="J498" s="302" t="str">
        <f t="shared" si="346"/>
        <v/>
      </c>
      <c r="K498" s="302" t="str">
        <f t="shared" si="346"/>
        <v/>
      </c>
      <c r="L498" s="302" t="str">
        <f>IF($H498="Monthly",$E498/12,IF($H498="Quarterly (From April)",$E498/4,IF($H498="Termly",0,IF($H498="Monthly (excl. August)",$E498/11,""))))</f>
        <v/>
      </c>
      <c r="M498" s="302" t="str">
        <f>IF($H498="Monthly",$E498/12,IF($H498="Quarterly (From April)",0,IF($H498="Termly",0,IF($H498="Monthly (excl. August)",0,""))))</f>
        <v/>
      </c>
      <c r="N498" s="302" t="str">
        <f>IF($H498="Monthly",$E498/12,IF($H498="Quarterly (From April)",0,IF($H498="Termly",$E498/3,IF($H498="Monthly (excl. August)",$E498/11,""))))</f>
        <v/>
      </c>
      <c r="O498" s="302" t="str">
        <f>IF($H498="Monthly",$E498/12,IF($H498="Quarterly (From April)",$E498/4,IF($H498="Termly",0,IF($H498="Monthly (excl. August)",$E498/11,""))))</f>
        <v/>
      </c>
      <c r="P498" s="302" t="str">
        <f t="shared" si="347"/>
        <v/>
      </c>
      <c r="Q498" s="302" t="str">
        <f t="shared" si="347"/>
        <v/>
      </c>
      <c r="R498" s="302" t="str">
        <f>IF($H498="Monthly",$E498/12,IF($H498="Quarterly (From April)",$E498/4,IF($H498="Termly",$E498/3,IF($H498="Monthly (excl. August)",$E498/11,""))))</f>
        <v/>
      </c>
      <c r="S498" s="302" t="str">
        <f t="shared" si="348"/>
        <v/>
      </c>
      <c r="T498" s="302" t="str">
        <f t="shared" si="348"/>
        <v/>
      </c>
      <c r="U498" s="303">
        <f>E498</f>
        <v>0</v>
      </c>
      <c r="V498" s="214">
        <f>IF(ROUND(SUM(I498:T498),0)&gt;U498,1,IF(ROUND(SUM(I498:T498),0)&lt;U498,1,0))</f>
        <v>0</v>
      </c>
      <c r="W498" s="322">
        <f>ROUND(SUM(I498:T498)-U498,0)</f>
        <v>0</v>
      </c>
    </row>
    <row r="499" spans="1:23" x14ac:dyDescent="0.2">
      <c r="A499" s="1093"/>
      <c r="B499" s="160"/>
      <c r="C499" s="108"/>
      <c r="D499" s="95"/>
      <c r="E499" s="250"/>
      <c r="F499" s="251"/>
      <c r="H499" s="43" t="s">
        <v>267</v>
      </c>
      <c r="I499" s="302" t="str">
        <f>IF($H499="Monthly",$E499/12,IF($H499="Quarterly (From April)",$E499/4,IF($H499="Termly",$E499/3,IF($H499="Monthly (excl. August)",$E499/11,""))))</f>
        <v/>
      </c>
      <c r="J499" s="302" t="str">
        <f t="shared" si="346"/>
        <v/>
      </c>
      <c r="K499" s="302" t="str">
        <f t="shared" si="346"/>
        <v/>
      </c>
      <c r="L499" s="302" t="str">
        <f>IF($H499="Monthly",$E499/12,IF($H499="Quarterly (From April)",$E499/4,IF($H499="Termly",0,IF($H499="Monthly (excl. August)",$E499/11,""))))</f>
        <v/>
      </c>
      <c r="M499" s="302" t="str">
        <f>IF($H499="Monthly",$E499/12,IF($H499="Quarterly (From April)",0,IF($H499="Termly",0,IF($H499="Monthly (excl. August)",0,""))))</f>
        <v/>
      </c>
      <c r="N499" s="302" t="str">
        <f>IF($H499="Monthly",$E499/12,IF($H499="Quarterly (From April)",0,IF($H499="Termly",$E499/3,IF($H499="Monthly (excl. August)",$E499/11,""))))</f>
        <v/>
      </c>
      <c r="O499" s="302" t="str">
        <f>IF($H499="Monthly",$E499/12,IF($H499="Quarterly (From April)",$E499/4,IF($H499="Termly",0,IF($H499="Monthly (excl. August)",$E499/11,""))))</f>
        <v/>
      </c>
      <c r="P499" s="302" t="str">
        <f t="shared" si="347"/>
        <v/>
      </c>
      <c r="Q499" s="302" t="str">
        <f t="shared" si="347"/>
        <v/>
      </c>
      <c r="R499" s="302" t="str">
        <f>IF($H499="Monthly",$E499/12,IF($H499="Quarterly (From April)",$E499/4,IF($H499="Termly",$E499/3,IF($H499="Monthly (excl. August)",$E499/11,""))))</f>
        <v/>
      </c>
      <c r="S499" s="302" t="str">
        <f t="shared" si="348"/>
        <v/>
      </c>
      <c r="T499" s="302" t="str">
        <f t="shared" si="348"/>
        <v/>
      </c>
      <c r="U499" s="303">
        <f>E499</f>
        <v>0</v>
      </c>
      <c r="V499" s="214">
        <f>IF(ROUND(SUM(I499:T499),0)&gt;U499,1,IF(ROUND(SUM(I499:T499),0)&lt;U499,1,0))</f>
        <v>0</v>
      </c>
      <c r="W499" s="322">
        <f>ROUND(SUM(I499:T499)-U499,0)</f>
        <v>0</v>
      </c>
    </row>
    <row r="500" spans="1:23" ht="13.5" thickBot="1" x14ac:dyDescent="0.25">
      <c r="A500" s="1094"/>
      <c r="B500" s="161"/>
      <c r="C500" s="109"/>
      <c r="D500" s="100"/>
      <c r="E500" s="256"/>
      <c r="F500" s="257">
        <f>SUM(E497:E500)</f>
        <v>0</v>
      </c>
      <c r="H500" s="43" t="s">
        <v>267</v>
      </c>
      <c r="I500" s="302" t="str">
        <f>IF($H500="Monthly",$E500/12,IF($H500="Quarterly (From April)",$E500/4,IF($H500="Termly",$E500/3,IF($H500="Monthly (excl. August)",$E500/11,""))))</f>
        <v/>
      </c>
      <c r="J500" s="302" t="str">
        <f t="shared" si="346"/>
        <v/>
      </c>
      <c r="K500" s="302" t="str">
        <f t="shared" si="346"/>
        <v/>
      </c>
      <c r="L500" s="302" t="str">
        <f>IF($H500="Monthly",$E500/12,IF($H500="Quarterly (From April)",$E500/4,IF($H500="Termly",0,IF($H500="Monthly (excl. August)",$E500/11,""))))</f>
        <v/>
      </c>
      <c r="M500" s="302" t="str">
        <f>IF($H500="Monthly",$E500/12,IF($H500="Quarterly (From April)",0,IF($H500="Termly",0,IF($H500="Monthly (excl. August)",0,""))))</f>
        <v/>
      </c>
      <c r="N500" s="302" t="str">
        <f>IF($H500="Monthly",$E500/12,IF($H500="Quarterly (From April)",0,IF($H500="Termly",$E500/3,IF($H500="Monthly (excl. August)",$E500/11,""))))</f>
        <v/>
      </c>
      <c r="O500" s="302" t="str">
        <f>IF($H500="Monthly",$E500/12,IF($H500="Quarterly (From April)",$E500/4,IF($H500="Termly",0,IF($H500="Monthly (excl. August)",$E500/11,""))))</f>
        <v/>
      </c>
      <c r="P500" s="302" t="str">
        <f t="shared" si="347"/>
        <v/>
      </c>
      <c r="Q500" s="302" t="str">
        <f t="shared" si="347"/>
        <v/>
      </c>
      <c r="R500" s="302" t="str">
        <f>IF($H500="Monthly",$E500/12,IF($H500="Quarterly (From April)",$E500/4,IF($H500="Termly",$E500/3,IF($H500="Monthly (excl. August)",$E500/11,""))))</f>
        <v/>
      </c>
      <c r="S500" s="302" t="str">
        <f t="shared" si="348"/>
        <v/>
      </c>
      <c r="T500" s="302" t="str">
        <f t="shared" si="348"/>
        <v/>
      </c>
      <c r="U500" s="303">
        <f>E500</f>
        <v>0</v>
      </c>
      <c r="V500" s="214">
        <f>IF(ROUND(SUM(I500:T500),0)&gt;U500,1,IF(ROUND(SUM(I500:T500),0)&lt;U500,1,0))</f>
        <v>0</v>
      </c>
      <c r="W500" s="322">
        <f>ROUND(SUM(I500:T500)-U500,0)</f>
        <v>0</v>
      </c>
    </row>
    <row r="501" spans="1:23" ht="13.5" thickBot="1" x14ac:dyDescent="0.25">
      <c r="A501" s="45"/>
      <c r="B501" s="119"/>
      <c r="C501" s="111"/>
      <c r="D501" s="107"/>
      <c r="E501" s="267"/>
      <c r="F501" s="270"/>
      <c r="I501" s="306"/>
      <c r="J501" s="306"/>
      <c r="K501" s="306"/>
      <c r="L501" s="306"/>
      <c r="M501" s="306"/>
      <c r="N501" s="306"/>
      <c r="O501" s="306"/>
      <c r="P501" s="306"/>
      <c r="Q501" s="306"/>
      <c r="R501" s="306"/>
      <c r="S501" s="306"/>
      <c r="T501" s="306"/>
      <c r="U501" s="305"/>
      <c r="W501" s="322"/>
    </row>
    <row r="502" spans="1:23" ht="12.75" customHeight="1" x14ac:dyDescent="0.2">
      <c r="A502" s="1092" t="s">
        <v>530</v>
      </c>
      <c r="B502" s="170"/>
      <c r="C502" s="113"/>
      <c r="D502" s="93"/>
      <c r="E502" s="246"/>
      <c r="F502" s="247"/>
      <c r="H502" s="43" t="s">
        <v>267</v>
      </c>
      <c r="I502" s="302" t="str">
        <f>IF($H502="Monthly",$E502/12,IF($H502="Quarterly (From April)",$E502/4,IF($H502="Termly",$E502/3,IF($H502="Monthly (excl. August)",$E502/11,""))))</f>
        <v/>
      </c>
      <c r="J502" s="302" t="str">
        <f t="shared" ref="J502:K505" si="349">IF($H502="Monthly",$E502/12,IF($H502="Quarterly (From April)",0,IF($H502="Termly",0,IF($H502="Monthly (excl. August)",$E502/11,""))))</f>
        <v/>
      </c>
      <c r="K502" s="302" t="str">
        <f t="shared" si="349"/>
        <v/>
      </c>
      <c r="L502" s="302" t="str">
        <f>IF($H502="Monthly",$E502/12,IF($H502="Quarterly (From April)",$E502/4,IF($H502="Termly",0,IF($H502="Monthly (excl. August)",$E502/11,""))))</f>
        <v/>
      </c>
      <c r="M502" s="302" t="str">
        <f>IF($H502="Monthly",$E502/12,IF($H502="Quarterly (From April)",0,IF($H502="Termly",0,IF($H502="Monthly (excl. August)",0,""))))</f>
        <v/>
      </c>
      <c r="N502" s="302" t="str">
        <f>IF($H502="Monthly",$E502/12,IF($H502="Quarterly (From April)",0,IF($H502="Termly",$E502/3,IF($H502="Monthly (excl. August)",$E502/11,""))))</f>
        <v/>
      </c>
      <c r="O502" s="302" t="str">
        <f>IF($H502="Monthly",$E502/12,IF($H502="Quarterly (From April)",$E502/4,IF($H502="Termly",0,IF($H502="Monthly (excl. August)",$E502/11,""))))</f>
        <v/>
      </c>
      <c r="P502" s="302" t="str">
        <f t="shared" ref="P502:Q505" si="350">IF($H502="Monthly",$E502/12,IF($H502="Quarterly (From April)",0,IF($H502="Termly",0,IF($H502="Monthly (excl. August)",$E502/11,""))))</f>
        <v/>
      </c>
      <c r="Q502" s="302" t="str">
        <f t="shared" si="350"/>
        <v/>
      </c>
      <c r="R502" s="302" t="str">
        <f>IF($H502="Monthly",$E502/12,IF($H502="Quarterly (From April)",$E502/4,IF($H502="Termly",$E502/3,IF($H502="Monthly (excl. August)",$E502/11,""))))</f>
        <v/>
      </c>
      <c r="S502" s="302" t="str">
        <f t="shared" ref="S502:T505" si="351">IF($H502="Monthly",$E502/12,IF($H502="Quarterly (From April)",0,IF($H502="Termly",0,IF($H502="Monthly (excl. August)",$E502/11,""))))</f>
        <v/>
      </c>
      <c r="T502" s="302" t="str">
        <f t="shared" si="351"/>
        <v/>
      </c>
      <c r="U502" s="303">
        <f>E502</f>
        <v>0</v>
      </c>
      <c r="V502" s="214">
        <f>IF(ROUND(SUM(I502:T502),0)&gt;U502,1,IF(ROUND(SUM(I502:T502),0)&lt;U502,1,0))</f>
        <v>0</v>
      </c>
      <c r="W502" s="322">
        <f>ROUND(SUM(I502:T502)-U502,0)</f>
        <v>0</v>
      </c>
    </row>
    <row r="503" spans="1:23" x14ac:dyDescent="0.2">
      <c r="A503" s="1093"/>
      <c r="B503" s="160"/>
      <c r="C503" s="108"/>
      <c r="D503" s="95"/>
      <c r="E503" s="250"/>
      <c r="F503" s="251"/>
      <c r="H503" s="43" t="s">
        <v>267</v>
      </c>
      <c r="I503" s="302" t="str">
        <f>IF($H503="Monthly",$E503/12,IF($H503="Quarterly (From April)",$E503/4,IF($H503="Termly",$E503/3,IF($H503="Monthly (excl. August)",$E503/11,""))))</f>
        <v/>
      </c>
      <c r="J503" s="302" t="str">
        <f t="shared" si="349"/>
        <v/>
      </c>
      <c r="K503" s="302" t="str">
        <f t="shared" si="349"/>
        <v/>
      </c>
      <c r="L503" s="302" t="str">
        <f>IF($H503="Monthly",$E503/12,IF($H503="Quarterly (From April)",$E503/4,IF($H503="Termly",0,IF($H503="Monthly (excl. August)",$E503/11,""))))</f>
        <v/>
      </c>
      <c r="M503" s="302" t="str">
        <f>IF($H503="Monthly",$E503/12,IF($H503="Quarterly (From April)",0,IF($H503="Termly",0,IF($H503="Monthly (excl. August)",0,""))))</f>
        <v/>
      </c>
      <c r="N503" s="302" t="str">
        <f>IF($H503="Monthly",$E503/12,IF($H503="Quarterly (From April)",0,IF($H503="Termly",$E503/3,IF($H503="Monthly (excl. August)",$E503/11,""))))</f>
        <v/>
      </c>
      <c r="O503" s="302" t="str">
        <f>IF($H503="Monthly",$E503/12,IF($H503="Quarterly (From April)",$E503/4,IF($H503="Termly",0,IF($H503="Monthly (excl. August)",$E503/11,""))))</f>
        <v/>
      </c>
      <c r="P503" s="302" t="str">
        <f t="shared" si="350"/>
        <v/>
      </c>
      <c r="Q503" s="302" t="str">
        <f t="shared" si="350"/>
        <v/>
      </c>
      <c r="R503" s="302" t="str">
        <f>IF($H503="Monthly",$E503/12,IF($H503="Quarterly (From April)",$E503/4,IF($H503="Termly",$E503/3,IF($H503="Monthly (excl. August)",$E503/11,""))))</f>
        <v/>
      </c>
      <c r="S503" s="302" t="str">
        <f t="shared" si="351"/>
        <v/>
      </c>
      <c r="T503" s="302" t="str">
        <f t="shared" si="351"/>
        <v/>
      </c>
      <c r="U503" s="303">
        <f>E503</f>
        <v>0</v>
      </c>
      <c r="V503" s="214">
        <f>IF(ROUND(SUM(I503:T503),0)&gt;U503,1,IF(ROUND(SUM(I503:T503),0)&lt;U503,1,0))</f>
        <v>0</v>
      </c>
      <c r="W503" s="322">
        <f>ROUND(SUM(I503:T503)-U503,0)</f>
        <v>0</v>
      </c>
    </row>
    <row r="504" spans="1:23" x14ac:dyDescent="0.2">
      <c r="A504" s="1093"/>
      <c r="B504" s="160"/>
      <c r="C504" s="108"/>
      <c r="D504" s="95"/>
      <c r="E504" s="250"/>
      <c r="F504" s="251"/>
      <c r="H504" s="43" t="s">
        <v>267</v>
      </c>
      <c r="I504" s="302" t="str">
        <f>IF($H504="Monthly",$E504/12,IF($H504="Quarterly (From April)",$E504/4,IF($H504="Termly",$E504/3,IF($H504="Monthly (excl. August)",$E504/11,""))))</f>
        <v/>
      </c>
      <c r="J504" s="302" t="str">
        <f t="shared" si="349"/>
        <v/>
      </c>
      <c r="K504" s="302" t="str">
        <f t="shared" si="349"/>
        <v/>
      </c>
      <c r="L504" s="302" t="str">
        <f>IF($H504="Monthly",$E504/12,IF($H504="Quarterly (From April)",$E504/4,IF($H504="Termly",0,IF($H504="Monthly (excl. August)",$E504/11,""))))</f>
        <v/>
      </c>
      <c r="M504" s="302" t="str">
        <f>IF($H504="Monthly",$E504/12,IF($H504="Quarterly (From April)",0,IF($H504="Termly",0,IF($H504="Monthly (excl. August)",0,""))))</f>
        <v/>
      </c>
      <c r="N504" s="302" t="str">
        <f>IF($H504="Monthly",$E504/12,IF($H504="Quarterly (From April)",0,IF($H504="Termly",$E504/3,IF($H504="Monthly (excl. August)",$E504/11,""))))</f>
        <v/>
      </c>
      <c r="O504" s="302" t="str">
        <f>IF($H504="Monthly",$E504/12,IF($H504="Quarterly (From April)",$E504/4,IF($H504="Termly",0,IF($H504="Monthly (excl. August)",$E504/11,""))))</f>
        <v/>
      </c>
      <c r="P504" s="302" t="str">
        <f t="shared" si="350"/>
        <v/>
      </c>
      <c r="Q504" s="302" t="str">
        <f t="shared" si="350"/>
        <v/>
      </c>
      <c r="R504" s="302" t="str">
        <f>IF($H504="Monthly",$E504/12,IF($H504="Quarterly (From April)",$E504/4,IF($H504="Termly",$E504/3,IF($H504="Monthly (excl. August)",$E504/11,""))))</f>
        <v/>
      </c>
      <c r="S504" s="302" t="str">
        <f t="shared" si="351"/>
        <v/>
      </c>
      <c r="T504" s="302" t="str">
        <f t="shared" si="351"/>
        <v/>
      </c>
      <c r="U504" s="303">
        <f>E504</f>
        <v>0</v>
      </c>
      <c r="V504" s="214">
        <f>IF(ROUND(SUM(I504:T504),0)&gt;U504,1,IF(ROUND(SUM(I504:T504),0)&lt;U504,1,0))</f>
        <v>0</v>
      </c>
      <c r="W504" s="322">
        <f>ROUND(SUM(I504:T504)-U504,0)</f>
        <v>0</v>
      </c>
    </row>
    <row r="505" spans="1:23" ht="13.5" thickBot="1" x14ac:dyDescent="0.25">
      <c r="A505" s="1094"/>
      <c r="B505" s="161"/>
      <c r="C505" s="109"/>
      <c r="D505" s="100"/>
      <c r="E505" s="256"/>
      <c r="F505" s="257">
        <f>SUM(E502:E505)</f>
        <v>0</v>
      </c>
      <c r="H505" s="43" t="s">
        <v>267</v>
      </c>
      <c r="I505" s="302" t="str">
        <f>IF($H505="Monthly",$E505/12,IF($H505="Quarterly (From April)",$E505/4,IF($H505="Termly",$E505/3,IF($H505="Monthly (excl. August)",$E505/11,""))))</f>
        <v/>
      </c>
      <c r="J505" s="302" t="str">
        <f t="shared" si="349"/>
        <v/>
      </c>
      <c r="K505" s="302" t="str">
        <f t="shared" si="349"/>
        <v/>
      </c>
      <c r="L505" s="302" t="str">
        <f>IF($H505="Monthly",$E505/12,IF($H505="Quarterly (From April)",$E505/4,IF($H505="Termly",0,IF($H505="Monthly (excl. August)",$E505/11,""))))</f>
        <v/>
      </c>
      <c r="M505" s="302" t="str">
        <f>IF($H505="Monthly",$E505/12,IF($H505="Quarterly (From April)",0,IF($H505="Termly",0,IF($H505="Monthly (excl. August)",0,""))))</f>
        <v/>
      </c>
      <c r="N505" s="302" t="str">
        <f>IF($H505="Monthly",$E505/12,IF($H505="Quarterly (From April)",0,IF($H505="Termly",$E505/3,IF($H505="Monthly (excl. August)",$E505/11,""))))</f>
        <v/>
      </c>
      <c r="O505" s="302" t="str">
        <f>IF($H505="Monthly",$E505/12,IF($H505="Quarterly (From April)",$E505/4,IF($H505="Termly",0,IF($H505="Monthly (excl. August)",$E505/11,""))))</f>
        <v/>
      </c>
      <c r="P505" s="302" t="str">
        <f t="shared" si="350"/>
        <v/>
      </c>
      <c r="Q505" s="302" t="str">
        <f t="shared" si="350"/>
        <v/>
      </c>
      <c r="R505" s="302" t="str">
        <f>IF($H505="Monthly",$E505/12,IF($H505="Quarterly (From April)",$E505/4,IF($H505="Termly",$E505/3,IF($H505="Monthly (excl. August)",$E505/11,""))))</f>
        <v/>
      </c>
      <c r="S505" s="302" t="str">
        <f t="shared" si="351"/>
        <v/>
      </c>
      <c r="T505" s="302" t="str">
        <f t="shared" si="351"/>
        <v/>
      </c>
      <c r="U505" s="303">
        <f>E505</f>
        <v>0</v>
      </c>
      <c r="V505" s="214">
        <f>IF(ROUND(SUM(I505:T505),0)&gt;U505,1,IF(ROUND(SUM(I505:T505),0)&lt;U505,1,0))</f>
        <v>0</v>
      </c>
      <c r="W505" s="322">
        <f>ROUND(SUM(I505:T505)-U505,0)</f>
        <v>0</v>
      </c>
    </row>
    <row r="506" spans="1:23" ht="13.5" thickBot="1" x14ac:dyDescent="0.25">
      <c r="A506" s="45"/>
      <c r="B506" s="119"/>
      <c r="C506" s="111"/>
      <c r="D506" s="107"/>
      <c r="E506" s="267"/>
      <c r="F506" s="270"/>
      <c r="I506" s="306"/>
      <c r="J506" s="306"/>
      <c r="K506" s="306"/>
      <c r="L506" s="306"/>
      <c r="M506" s="306"/>
      <c r="N506" s="306"/>
      <c r="O506" s="306"/>
      <c r="P506" s="306"/>
      <c r="Q506" s="306"/>
      <c r="R506" s="306"/>
      <c r="S506" s="306"/>
      <c r="T506" s="306"/>
      <c r="U506" s="305"/>
      <c r="W506" s="322"/>
    </row>
    <row r="507" spans="1:23" ht="12.75" customHeight="1" x14ac:dyDescent="0.2">
      <c r="A507" s="1092" t="s">
        <v>530</v>
      </c>
      <c r="B507" s="170"/>
      <c r="C507" s="113"/>
      <c r="D507" s="93"/>
      <c r="E507" s="246"/>
      <c r="F507" s="247"/>
      <c r="H507" s="43" t="s">
        <v>267</v>
      </c>
      <c r="I507" s="302" t="str">
        <f>IF($H507="Monthly",$E507/12,IF($H507="Quarterly (From April)",$E507/4,IF($H507="Termly",$E507/3,IF($H507="Monthly (excl. August)",$E507/11,""))))</f>
        <v/>
      </c>
      <c r="J507" s="302" t="str">
        <f t="shared" ref="J507:K510" si="352">IF($H507="Monthly",$E507/12,IF($H507="Quarterly (From April)",0,IF($H507="Termly",0,IF($H507="Monthly (excl. August)",$E507/11,""))))</f>
        <v/>
      </c>
      <c r="K507" s="302" t="str">
        <f t="shared" si="352"/>
        <v/>
      </c>
      <c r="L507" s="302" t="str">
        <f>IF($H507="Monthly",$E507/12,IF($H507="Quarterly (From April)",$E507/4,IF($H507="Termly",0,IF($H507="Monthly (excl. August)",$E507/11,""))))</f>
        <v/>
      </c>
      <c r="M507" s="302" t="str">
        <f>IF($H507="Monthly",$E507/12,IF($H507="Quarterly (From April)",0,IF($H507="Termly",0,IF($H507="Monthly (excl. August)",0,""))))</f>
        <v/>
      </c>
      <c r="N507" s="302" t="str">
        <f>IF($H507="Monthly",$E507/12,IF($H507="Quarterly (From April)",0,IF($H507="Termly",$E507/3,IF($H507="Monthly (excl. August)",$E507/11,""))))</f>
        <v/>
      </c>
      <c r="O507" s="302" t="str">
        <f>IF($H507="Monthly",$E507/12,IF($H507="Quarterly (From April)",$E507/4,IF($H507="Termly",0,IF($H507="Monthly (excl. August)",$E507/11,""))))</f>
        <v/>
      </c>
      <c r="P507" s="302" t="str">
        <f t="shared" ref="P507:Q510" si="353">IF($H507="Monthly",$E507/12,IF($H507="Quarterly (From April)",0,IF($H507="Termly",0,IF($H507="Monthly (excl. August)",$E507/11,""))))</f>
        <v/>
      </c>
      <c r="Q507" s="302" t="str">
        <f t="shared" si="353"/>
        <v/>
      </c>
      <c r="R507" s="302" t="str">
        <f>IF($H507="Monthly",$E507/12,IF($H507="Quarterly (From April)",$E507/4,IF($H507="Termly",$E507/3,IF($H507="Monthly (excl. August)",$E507/11,""))))</f>
        <v/>
      </c>
      <c r="S507" s="302" t="str">
        <f t="shared" ref="S507:T510" si="354">IF($H507="Monthly",$E507/12,IF($H507="Quarterly (From April)",0,IF($H507="Termly",0,IF($H507="Monthly (excl. August)",$E507/11,""))))</f>
        <v/>
      </c>
      <c r="T507" s="302" t="str">
        <f t="shared" si="354"/>
        <v/>
      </c>
      <c r="U507" s="303">
        <f>E507</f>
        <v>0</v>
      </c>
      <c r="V507" s="214">
        <f>IF(ROUND(SUM(I507:T507),0)&gt;U507,1,IF(ROUND(SUM(I507:T507),0)&lt;U507,1,0))</f>
        <v>0</v>
      </c>
      <c r="W507" s="322">
        <f>ROUND(SUM(I507:T507)-U507,0)</f>
        <v>0</v>
      </c>
    </row>
    <row r="508" spans="1:23" x14ac:dyDescent="0.2">
      <c r="A508" s="1093"/>
      <c r="B508" s="160"/>
      <c r="C508" s="108"/>
      <c r="D508" s="95"/>
      <c r="E508" s="250"/>
      <c r="F508" s="251"/>
      <c r="H508" s="43" t="s">
        <v>267</v>
      </c>
      <c r="I508" s="302" t="str">
        <f>IF($H508="Monthly",$E508/12,IF($H508="Quarterly (From April)",$E508/4,IF($H508="Termly",$E508/3,IF($H508="Monthly (excl. August)",$E508/11,""))))</f>
        <v/>
      </c>
      <c r="J508" s="302" t="str">
        <f t="shared" si="352"/>
        <v/>
      </c>
      <c r="K508" s="302" t="str">
        <f t="shared" si="352"/>
        <v/>
      </c>
      <c r="L508" s="302" t="str">
        <f>IF($H508="Monthly",$E508/12,IF($H508="Quarterly (From April)",$E508/4,IF($H508="Termly",0,IF($H508="Monthly (excl. August)",$E508/11,""))))</f>
        <v/>
      </c>
      <c r="M508" s="302" t="str">
        <f>IF($H508="Monthly",$E508/12,IF($H508="Quarterly (From April)",0,IF($H508="Termly",0,IF($H508="Monthly (excl. August)",0,""))))</f>
        <v/>
      </c>
      <c r="N508" s="302" t="str">
        <f>IF($H508="Monthly",$E508/12,IF($H508="Quarterly (From April)",0,IF($H508="Termly",$E508/3,IF($H508="Monthly (excl. August)",$E508/11,""))))</f>
        <v/>
      </c>
      <c r="O508" s="302" t="str">
        <f>IF($H508="Monthly",$E508/12,IF($H508="Quarterly (From April)",$E508/4,IF($H508="Termly",0,IF($H508="Monthly (excl. August)",$E508/11,""))))</f>
        <v/>
      </c>
      <c r="P508" s="302" t="str">
        <f t="shared" si="353"/>
        <v/>
      </c>
      <c r="Q508" s="302" t="str">
        <f t="shared" si="353"/>
        <v/>
      </c>
      <c r="R508" s="302" t="str">
        <f>IF($H508="Monthly",$E508/12,IF($H508="Quarterly (From April)",$E508/4,IF($H508="Termly",$E508/3,IF($H508="Monthly (excl. August)",$E508/11,""))))</f>
        <v/>
      </c>
      <c r="S508" s="302" t="str">
        <f t="shared" si="354"/>
        <v/>
      </c>
      <c r="T508" s="302" t="str">
        <f t="shared" si="354"/>
        <v/>
      </c>
      <c r="U508" s="303">
        <f>E508</f>
        <v>0</v>
      </c>
      <c r="V508" s="214">
        <f>IF(ROUND(SUM(I508:T508),0)&gt;U508,1,IF(ROUND(SUM(I508:T508),0)&lt;U508,1,0))</f>
        <v>0</v>
      </c>
      <c r="W508" s="322">
        <f>ROUND(SUM(I508:T508)-U508,0)</f>
        <v>0</v>
      </c>
    </row>
    <row r="509" spans="1:23" x14ac:dyDescent="0.2">
      <c r="A509" s="1093"/>
      <c r="B509" s="160"/>
      <c r="C509" s="108"/>
      <c r="D509" s="95"/>
      <c r="E509" s="250"/>
      <c r="F509" s="251"/>
      <c r="H509" s="43" t="s">
        <v>267</v>
      </c>
      <c r="I509" s="302" t="str">
        <f>IF($H509="Monthly",$E509/12,IF($H509="Quarterly (From April)",$E509/4,IF($H509="Termly",$E509/3,IF($H509="Monthly (excl. August)",$E509/11,""))))</f>
        <v/>
      </c>
      <c r="J509" s="302" t="str">
        <f t="shared" si="352"/>
        <v/>
      </c>
      <c r="K509" s="302" t="str">
        <f t="shared" si="352"/>
        <v/>
      </c>
      <c r="L509" s="302" t="str">
        <f>IF($H509="Monthly",$E509/12,IF($H509="Quarterly (From April)",$E509/4,IF($H509="Termly",0,IF($H509="Monthly (excl. August)",$E509/11,""))))</f>
        <v/>
      </c>
      <c r="M509" s="302" t="str">
        <f>IF($H509="Monthly",$E509/12,IF($H509="Quarterly (From April)",0,IF($H509="Termly",0,IF($H509="Monthly (excl. August)",0,""))))</f>
        <v/>
      </c>
      <c r="N509" s="302" t="str">
        <f>IF($H509="Monthly",$E509/12,IF($H509="Quarterly (From April)",0,IF($H509="Termly",$E509/3,IF($H509="Monthly (excl. August)",$E509/11,""))))</f>
        <v/>
      </c>
      <c r="O509" s="302" t="str">
        <f>IF($H509="Monthly",$E509/12,IF($H509="Quarterly (From April)",$E509/4,IF($H509="Termly",0,IF($H509="Monthly (excl. August)",$E509/11,""))))</f>
        <v/>
      </c>
      <c r="P509" s="302" t="str">
        <f t="shared" si="353"/>
        <v/>
      </c>
      <c r="Q509" s="302" t="str">
        <f t="shared" si="353"/>
        <v/>
      </c>
      <c r="R509" s="302" t="str">
        <f>IF($H509="Monthly",$E509/12,IF($H509="Quarterly (From April)",$E509/4,IF($H509="Termly",$E509/3,IF($H509="Monthly (excl. August)",$E509/11,""))))</f>
        <v/>
      </c>
      <c r="S509" s="302" t="str">
        <f t="shared" si="354"/>
        <v/>
      </c>
      <c r="T509" s="302" t="str">
        <f t="shared" si="354"/>
        <v/>
      </c>
      <c r="U509" s="303">
        <f>E509</f>
        <v>0</v>
      </c>
      <c r="V509" s="214">
        <f>IF(ROUND(SUM(I509:T509),0)&gt;U509,1,IF(ROUND(SUM(I509:T509),0)&lt;U509,1,0))</f>
        <v>0</v>
      </c>
      <c r="W509" s="322">
        <f>ROUND(SUM(I509:T509)-U509,0)</f>
        <v>0</v>
      </c>
    </row>
    <row r="510" spans="1:23" ht="13.5" thickBot="1" x14ac:dyDescent="0.25">
      <c r="A510" s="1094"/>
      <c r="B510" s="161"/>
      <c r="C510" s="109"/>
      <c r="D510" s="100"/>
      <c r="E510" s="256"/>
      <c r="F510" s="257">
        <f>SUM(E507:E510)</f>
        <v>0</v>
      </c>
      <c r="H510" s="43" t="s">
        <v>267</v>
      </c>
      <c r="I510" s="302" t="str">
        <f>IF($H510="Monthly",$E510/12,IF($H510="Quarterly (From April)",$E510/4,IF($H510="Termly",$E510/3,IF($H510="Monthly (excl. August)",$E510/11,""))))</f>
        <v/>
      </c>
      <c r="J510" s="302" t="str">
        <f t="shared" si="352"/>
        <v/>
      </c>
      <c r="K510" s="302" t="str">
        <f t="shared" si="352"/>
        <v/>
      </c>
      <c r="L510" s="302" t="str">
        <f>IF($H510="Monthly",$E510/12,IF($H510="Quarterly (From April)",$E510/4,IF($H510="Termly",0,IF($H510="Monthly (excl. August)",$E510/11,""))))</f>
        <v/>
      </c>
      <c r="M510" s="302" t="str">
        <f>IF($H510="Monthly",$E510/12,IF($H510="Quarterly (From April)",0,IF($H510="Termly",0,IF($H510="Monthly (excl. August)",0,""))))</f>
        <v/>
      </c>
      <c r="N510" s="302" t="str">
        <f>IF($H510="Monthly",$E510/12,IF($H510="Quarterly (From April)",0,IF($H510="Termly",$E510/3,IF($H510="Monthly (excl. August)",$E510/11,""))))</f>
        <v/>
      </c>
      <c r="O510" s="302" t="str">
        <f>IF($H510="Monthly",$E510/12,IF($H510="Quarterly (From April)",$E510/4,IF($H510="Termly",0,IF($H510="Monthly (excl. August)",$E510/11,""))))</f>
        <v/>
      </c>
      <c r="P510" s="302" t="str">
        <f t="shared" si="353"/>
        <v/>
      </c>
      <c r="Q510" s="302" t="str">
        <f t="shared" si="353"/>
        <v/>
      </c>
      <c r="R510" s="302" t="str">
        <f>IF($H510="Monthly",$E510/12,IF($H510="Quarterly (From April)",$E510/4,IF($H510="Termly",$E510/3,IF($H510="Monthly (excl. August)",$E510/11,""))))</f>
        <v/>
      </c>
      <c r="S510" s="302" t="str">
        <f t="shared" si="354"/>
        <v/>
      </c>
      <c r="T510" s="302" t="str">
        <f t="shared" si="354"/>
        <v/>
      </c>
      <c r="U510" s="303">
        <f>E510</f>
        <v>0</v>
      </c>
      <c r="V510" s="214">
        <f>IF(ROUND(SUM(I510:T510),0)&gt;U510,1,IF(ROUND(SUM(I510:T510),0)&lt;U510,1,0))</f>
        <v>0</v>
      </c>
      <c r="W510" s="322">
        <f>ROUND(SUM(I510:T510)-U510,0)</f>
        <v>0</v>
      </c>
    </row>
    <row r="511" spans="1:23" ht="13.5" thickBot="1" x14ac:dyDescent="0.25">
      <c r="A511" s="45"/>
      <c r="B511" s="119"/>
      <c r="C511" s="111"/>
      <c r="D511" s="107"/>
      <c r="E511" s="267"/>
      <c r="F511" s="270"/>
      <c r="I511" s="306"/>
      <c r="J511" s="306"/>
      <c r="K511" s="306"/>
      <c r="L511" s="306"/>
      <c r="M511" s="306"/>
      <c r="N511" s="306"/>
      <c r="O511" s="306"/>
      <c r="P511" s="306"/>
      <c r="Q511" s="306"/>
      <c r="R511" s="306"/>
      <c r="S511" s="306"/>
      <c r="T511" s="306"/>
      <c r="U511" s="305"/>
      <c r="W511" s="322"/>
    </row>
    <row r="512" spans="1:23" ht="12.75" customHeight="1" x14ac:dyDescent="0.2">
      <c r="A512" s="1092" t="s">
        <v>530</v>
      </c>
      <c r="B512" s="170"/>
      <c r="C512" s="113"/>
      <c r="D512" s="93"/>
      <c r="E512" s="246"/>
      <c r="F512" s="247"/>
      <c r="H512" s="43" t="s">
        <v>267</v>
      </c>
      <c r="I512" s="302" t="str">
        <f>IF($H512="Monthly",$E512/12,IF($H512="Quarterly (From April)",$E512/4,IF($H512="Termly",$E512/3,IF($H512="Monthly (excl. August)",$E512/11,""))))</f>
        <v/>
      </c>
      <c r="J512" s="302" t="str">
        <f t="shared" ref="J512:K515" si="355">IF($H512="Monthly",$E512/12,IF($H512="Quarterly (From April)",0,IF($H512="Termly",0,IF($H512="Monthly (excl. August)",$E512/11,""))))</f>
        <v/>
      </c>
      <c r="K512" s="302" t="str">
        <f t="shared" si="355"/>
        <v/>
      </c>
      <c r="L512" s="302" t="str">
        <f>IF($H512="Monthly",$E512/12,IF($H512="Quarterly (From April)",$E512/4,IF($H512="Termly",0,IF($H512="Monthly (excl. August)",$E512/11,""))))</f>
        <v/>
      </c>
      <c r="M512" s="302" t="str">
        <f>IF($H512="Monthly",$E512/12,IF($H512="Quarterly (From April)",0,IF($H512="Termly",0,IF($H512="Monthly (excl. August)",0,""))))</f>
        <v/>
      </c>
      <c r="N512" s="302" t="str">
        <f>IF($H512="Monthly",$E512/12,IF($H512="Quarterly (From April)",0,IF($H512="Termly",$E512/3,IF($H512="Monthly (excl. August)",$E512/11,""))))</f>
        <v/>
      </c>
      <c r="O512" s="302" t="str">
        <f>IF($H512="Monthly",$E512/12,IF($H512="Quarterly (From April)",$E512/4,IF($H512="Termly",0,IF($H512="Monthly (excl. August)",$E512/11,""))))</f>
        <v/>
      </c>
      <c r="P512" s="302" t="str">
        <f t="shared" ref="P512:Q515" si="356">IF($H512="Monthly",$E512/12,IF($H512="Quarterly (From April)",0,IF($H512="Termly",0,IF($H512="Monthly (excl. August)",$E512/11,""))))</f>
        <v/>
      </c>
      <c r="Q512" s="302" t="str">
        <f t="shared" si="356"/>
        <v/>
      </c>
      <c r="R512" s="302" t="str">
        <f>IF($H512="Monthly",$E512/12,IF($H512="Quarterly (From April)",$E512/4,IF($H512="Termly",$E512/3,IF($H512="Monthly (excl. August)",$E512/11,""))))</f>
        <v/>
      </c>
      <c r="S512" s="302" t="str">
        <f t="shared" ref="S512:T515" si="357">IF($H512="Monthly",$E512/12,IF($H512="Quarterly (From April)",0,IF($H512="Termly",0,IF($H512="Monthly (excl. August)",$E512/11,""))))</f>
        <v/>
      </c>
      <c r="T512" s="302" t="str">
        <f t="shared" si="357"/>
        <v/>
      </c>
      <c r="U512" s="303">
        <f>E512</f>
        <v>0</v>
      </c>
      <c r="V512" s="214">
        <f>IF(ROUND(SUM(I512:T512),0)&gt;U512,1,IF(ROUND(SUM(I512:T512),0)&lt;U512,1,0))</f>
        <v>0</v>
      </c>
      <c r="W512" s="322">
        <f>ROUND(SUM(I512:T512)-U512,0)</f>
        <v>0</v>
      </c>
    </row>
    <row r="513" spans="1:23" x14ac:dyDescent="0.2">
      <c r="A513" s="1093"/>
      <c r="B513" s="160"/>
      <c r="C513" s="108"/>
      <c r="D513" s="95"/>
      <c r="E513" s="250"/>
      <c r="F513" s="251"/>
      <c r="H513" s="43" t="s">
        <v>267</v>
      </c>
      <c r="I513" s="302" t="str">
        <f>IF($H513="Monthly",$E513/12,IF($H513="Quarterly (From April)",$E513/4,IF($H513="Termly",$E513/3,IF($H513="Monthly (excl. August)",$E513/11,""))))</f>
        <v/>
      </c>
      <c r="J513" s="302" t="str">
        <f t="shared" si="355"/>
        <v/>
      </c>
      <c r="K513" s="302" t="str">
        <f t="shared" si="355"/>
        <v/>
      </c>
      <c r="L513" s="302" t="str">
        <f>IF($H513="Monthly",$E513/12,IF($H513="Quarterly (From April)",$E513/4,IF($H513="Termly",0,IF($H513="Monthly (excl. August)",$E513/11,""))))</f>
        <v/>
      </c>
      <c r="M513" s="302" t="str">
        <f>IF($H513="Monthly",$E513/12,IF($H513="Quarterly (From April)",0,IF($H513="Termly",0,IF($H513="Monthly (excl. August)",0,""))))</f>
        <v/>
      </c>
      <c r="N513" s="302" t="str">
        <f>IF($H513="Monthly",$E513/12,IF($H513="Quarterly (From April)",0,IF($H513="Termly",$E513/3,IF($H513="Monthly (excl. August)",$E513/11,""))))</f>
        <v/>
      </c>
      <c r="O513" s="302" t="str">
        <f>IF($H513="Monthly",$E513/12,IF($H513="Quarterly (From April)",$E513/4,IF($H513="Termly",0,IF($H513="Monthly (excl. August)",$E513/11,""))))</f>
        <v/>
      </c>
      <c r="P513" s="302" t="str">
        <f t="shared" si="356"/>
        <v/>
      </c>
      <c r="Q513" s="302" t="str">
        <f t="shared" si="356"/>
        <v/>
      </c>
      <c r="R513" s="302" t="str">
        <f>IF($H513="Monthly",$E513/12,IF($H513="Quarterly (From April)",$E513/4,IF($H513="Termly",$E513/3,IF($H513="Monthly (excl. August)",$E513/11,""))))</f>
        <v/>
      </c>
      <c r="S513" s="302" t="str">
        <f t="shared" si="357"/>
        <v/>
      </c>
      <c r="T513" s="302" t="str">
        <f t="shared" si="357"/>
        <v/>
      </c>
      <c r="U513" s="303">
        <f>E513</f>
        <v>0</v>
      </c>
      <c r="V513" s="214">
        <f>IF(ROUND(SUM(I513:T513),0)&gt;U513,1,IF(ROUND(SUM(I513:T513),0)&lt;U513,1,0))</f>
        <v>0</v>
      </c>
      <c r="W513" s="322">
        <f>ROUND(SUM(I513:T513)-U513,0)</f>
        <v>0</v>
      </c>
    </row>
    <row r="514" spans="1:23" x14ac:dyDescent="0.2">
      <c r="A514" s="1093"/>
      <c r="B514" s="160"/>
      <c r="C514" s="108"/>
      <c r="D514" s="95"/>
      <c r="E514" s="250"/>
      <c r="F514" s="251"/>
      <c r="H514" s="43" t="s">
        <v>267</v>
      </c>
      <c r="I514" s="302" t="str">
        <f>IF($H514="Monthly",$E514/12,IF($H514="Quarterly (From April)",$E514/4,IF($H514="Termly",$E514/3,IF($H514="Monthly (excl. August)",$E514/11,""))))</f>
        <v/>
      </c>
      <c r="J514" s="302" t="str">
        <f t="shared" si="355"/>
        <v/>
      </c>
      <c r="K514" s="302" t="str">
        <f t="shared" si="355"/>
        <v/>
      </c>
      <c r="L514" s="302" t="str">
        <f>IF($H514="Monthly",$E514/12,IF($H514="Quarterly (From April)",$E514/4,IF($H514="Termly",0,IF($H514="Monthly (excl. August)",$E514/11,""))))</f>
        <v/>
      </c>
      <c r="M514" s="302" t="str">
        <f>IF($H514="Monthly",$E514/12,IF($H514="Quarterly (From April)",0,IF($H514="Termly",0,IF($H514="Monthly (excl. August)",0,""))))</f>
        <v/>
      </c>
      <c r="N514" s="302" t="str">
        <f>IF($H514="Monthly",$E514/12,IF($H514="Quarterly (From April)",0,IF($H514="Termly",$E514/3,IF($H514="Monthly (excl. August)",$E514/11,""))))</f>
        <v/>
      </c>
      <c r="O514" s="302" t="str">
        <f>IF($H514="Monthly",$E514/12,IF($H514="Quarterly (From April)",$E514/4,IF($H514="Termly",0,IF($H514="Monthly (excl. August)",$E514/11,""))))</f>
        <v/>
      </c>
      <c r="P514" s="302" t="str">
        <f t="shared" si="356"/>
        <v/>
      </c>
      <c r="Q514" s="302" t="str">
        <f t="shared" si="356"/>
        <v/>
      </c>
      <c r="R514" s="302" t="str">
        <f>IF($H514="Monthly",$E514/12,IF($H514="Quarterly (From April)",$E514/4,IF($H514="Termly",$E514/3,IF($H514="Monthly (excl. August)",$E514/11,""))))</f>
        <v/>
      </c>
      <c r="S514" s="302" t="str">
        <f t="shared" si="357"/>
        <v/>
      </c>
      <c r="T514" s="302" t="str">
        <f t="shared" si="357"/>
        <v/>
      </c>
      <c r="U514" s="303">
        <f>E514</f>
        <v>0</v>
      </c>
      <c r="V514" s="214">
        <f>IF(ROUND(SUM(I514:T514),0)&gt;U514,1,IF(ROUND(SUM(I514:T514),0)&lt;U514,1,0))</f>
        <v>0</v>
      </c>
      <c r="W514" s="322">
        <f>ROUND(SUM(I514:T514)-U514,0)</f>
        <v>0</v>
      </c>
    </row>
    <row r="515" spans="1:23" ht="13.5" thickBot="1" x14ac:dyDescent="0.25">
      <c r="A515" s="1094"/>
      <c r="B515" s="161"/>
      <c r="C515" s="109"/>
      <c r="D515" s="100"/>
      <c r="E515" s="256"/>
      <c r="F515" s="257">
        <f>SUM(E512:E515)</f>
        <v>0</v>
      </c>
      <c r="H515" s="43" t="s">
        <v>267</v>
      </c>
      <c r="I515" s="302" t="str">
        <f>IF($H515="Monthly",$E515/12,IF($H515="Quarterly (From April)",$E515/4,IF($H515="Termly",$E515/3,IF($H515="Monthly (excl. August)",$E515/11,""))))</f>
        <v/>
      </c>
      <c r="J515" s="302" t="str">
        <f t="shared" si="355"/>
        <v/>
      </c>
      <c r="K515" s="302" t="str">
        <f t="shared" si="355"/>
        <v/>
      </c>
      <c r="L515" s="302" t="str">
        <f>IF($H515="Monthly",$E515/12,IF($H515="Quarterly (From April)",$E515/4,IF($H515="Termly",0,IF($H515="Monthly (excl. August)",$E515/11,""))))</f>
        <v/>
      </c>
      <c r="M515" s="302" t="str">
        <f>IF($H515="Monthly",$E515/12,IF($H515="Quarterly (From April)",0,IF($H515="Termly",0,IF($H515="Monthly (excl. August)",0,""))))</f>
        <v/>
      </c>
      <c r="N515" s="302" t="str">
        <f>IF($H515="Monthly",$E515/12,IF($H515="Quarterly (From April)",0,IF($H515="Termly",$E515/3,IF($H515="Monthly (excl. August)",$E515/11,""))))</f>
        <v/>
      </c>
      <c r="O515" s="302" t="str">
        <f>IF($H515="Monthly",$E515/12,IF($H515="Quarterly (From April)",$E515/4,IF($H515="Termly",0,IF($H515="Monthly (excl. August)",$E515/11,""))))</f>
        <v/>
      </c>
      <c r="P515" s="302" t="str">
        <f t="shared" si="356"/>
        <v/>
      </c>
      <c r="Q515" s="302" t="str">
        <f t="shared" si="356"/>
        <v/>
      </c>
      <c r="R515" s="302" t="str">
        <f>IF($H515="Monthly",$E515/12,IF($H515="Quarterly (From April)",$E515/4,IF($H515="Termly",$E515/3,IF($H515="Monthly (excl. August)",$E515/11,""))))</f>
        <v/>
      </c>
      <c r="S515" s="302" t="str">
        <f t="shared" si="357"/>
        <v/>
      </c>
      <c r="T515" s="302" t="str">
        <f t="shared" si="357"/>
        <v/>
      </c>
      <c r="U515" s="303">
        <f>E515</f>
        <v>0</v>
      </c>
      <c r="V515" s="214">
        <f>IF(ROUND(SUM(I515:T515),0)&gt;U515,1,IF(ROUND(SUM(I515:T515),0)&lt;U515,1,0))</f>
        <v>0</v>
      </c>
      <c r="W515" s="322">
        <f>ROUND(SUM(I515:T515)-U515,0)</f>
        <v>0</v>
      </c>
    </row>
    <row r="516" spans="1:23" ht="13.5" thickBot="1" x14ac:dyDescent="0.25">
      <c r="A516" s="45"/>
      <c r="B516" s="119"/>
      <c r="C516" s="111"/>
      <c r="D516" s="107"/>
      <c r="E516" s="267"/>
      <c r="F516" s="270"/>
      <c r="I516" s="306"/>
      <c r="J516" s="306"/>
      <c r="K516" s="306"/>
      <c r="L516" s="306"/>
      <c r="M516" s="306"/>
      <c r="N516" s="306"/>
      <c r="O516" s="306"/>
      <c r="P516" s="306"/>
      <c r="Q516" s="306"/>
      <c r="R516" s="306"/>
      <c r="S516" s="306"/>
      <c r="T516" s="306"/>
      <c r="U516" s="305"/>
      <c r="W516" s="322"/>
    </row>
    <row r="517" spans="1:23" ht="12.75" customHeight="1" x14ac:dyDescent="0.2">
      <c r="A517" s="1092" t="s">
        <v>530</v>
      </c>
      <c r="B517" s="170"/>
      <c r="C517" s="113"/>
      <c r="D517" s="93"/>
      <c r="E517" s="246"/>
      <c r="F517" s="247"/>
      <c r="H517" s="43" t="s">
        <v>267</v>
      </c>
      <c r="I517" s="302" t="str">
        <f>IF($H517="Monthly",$E517/12,IF($H517="Quarterly (From April)",$E517/4,IF($H517="Termly",$E517/3,IF($H517="Monthly (excl. August)",$E517/11,""))))</f>
        <v/>
      </c>
      <c r="J517" s="302" t="str">
        <f t="shared" ref="J517:K520" si="358">IF($H517="Monthly",$E517/12,IF($H517="Quarterly (From April)",0,IF($H517="Termly",0,IF($H517="Monthly (excl. August)",$E517/11,""))))</f>
        <v/>
      </c>
      <c r="K517" s="302" t="str">
        <f t="shared" si="358"/>
        <v/>
      </c>
      <c r="L517" s="302" t="str">
        <f>IF($H517="Monthly",$E517/12,IF($H517="Quarterly (From April)",$E517/4,IF($H517="Termly",0,IF($H517="Monthly (excl. August)",$E517/11,""))))</f>
        <v/>
      </c>
      <c r="M517" s="302" t="str">
        <f>IF($H517="Monthly",$E517/12,IF($H517="Quarterly (From April)",0,IF($H517="Termly",0,IF($H517="Monthly (excl. August)",0,""))))</f>
        <v/>
      </c>
      <c r="N517" s="302" t="str">
        <f>IF($H517="Monthly",$E517/12,IF($H517="Quarterly (From April)",0,IF($H517="Termly",$E517/3,IF($H517="Monthly (excl. August)",$E517/11,""))))</f>
        <v/>
      </c>
      <c r="O517" s="302" t="str">
        <f>IF($H517="Monthly",$E517/12,IF($H517="Quarterly (From April)",$E517/4,IF($H517="Termly",0,IF($H517="Monthly (excl. August)",$E517/11,""))))</f>
        <v/>
      </c>
      <c r="P517" s="302" t="str">
        <f t="shared" ref="P517:Q520" si="359">IF($H517="Monthly",$E517/12,IF($H517="Quarterly (From April)",0,IF($H517="Termly",0,IF($H517="Monthly (excl. August)",$E517/11,""))))</f>
        <v/>
      </c>
      <c r="Q517" s="302" t="str">
        <f t="shared" si="359"/>
        <v/>
      </c>
      <c r="R517" s="302" t="str">
        <f>IF($H517="Monthly",$E517/12,IF($H517="Quarterly (From April)",$E517/4,IF($H517="Termly",$E517/3,IF($H517="Monthly (excl. August)",$E517/11,""))))</f>
        <v/>
      </c>
      <c r="S517" s="302" t="str">
        <f t="shared" ref="S517:T520" si="360">IF($H517="Monthly",$E517/12,IF($H517="Quarterly (From April)",0,IF($H517="Termly",0,IF($H517="Monthly (excl. August)",$E517/11,""))))</f>
        <v/>
      </c>
      <c r="T517" s="302" t="str">
        <f t="shared" si="360"/>
        <v/>
      </c>
      <c r="U517" s="303">
        <f>E517</f>
        <v>0</v>
      </c>
      <c r="V517" s="214">
        <f>IF(ROUND(SUM(I517:T517),0)&gt;U517,1,IF(ROUND(SUM(I517:T517),0)&lt;U517,1,0))</f>
        <v>0</v>
      </c>
      <c r="W517" s="322">
        <f>ROUND(SUM(I517:T517)-U517,0)</f>
        <v>0</v>
      </c>
    </row>
    <row r="518" spans="1:23" x14ac:dyDescent="0.2">
      <c r="A518" s="1093"/>
      <c r="B518" s="160"/>
      <c r="C518" s="108"/>
      <c r="D518" s="95"/>
      <c r="E518" s="250"/>
      <c r="F518" s="251"/>
      <c r="H518" s="43" t="s">
        <v>267</v>
      </c>
      <c r="I518" s="302" t="str">
        <f>IF($H518="Monthly",$E518/12,IF($H518="Quarterly (From April)",$E518/4,IF($H518="Termly",$E518/3,IF($H518="Monthly (excl. August)",$E518/11,""))))</f>
        <v/>
      </c>
      <c r="J518" s="302" t="str">
        <f t="shared" si="358"/>
        <v/>
      </c>
      <c r="K518" s="302" t="str">
        <f t="shared" si="358"/>
        <v/>
      </c>
      <c r="L518" s="302" t="str">
        <f>IF($H518="Monthly",$E518/12,IF($H518="Quarterly (From April)",$E518/4,IF($H518="Termly",0,IF($H518="Monthly (excl. August)",$E518/11,""))))</f>
        <v/>
      </c>
      <c r="M518" s="302" t="str">
        <f>IF($H518="Monthly",$E518/12,IF($H518="Quarterly (From April)",0,IF($H518="Termly",0,IF($H518="Monthly (excl. August)",0,""))))</f>
        <v/>
      </c>
      <c r="N518" s="302" t="str">
        <f>IF($H518="Monthly",$E518/12,IF($H518="Quarterly (From April)",0,IF($H518="Termly",$E518/3,IF($H518="Monthly (excl. August)",$E518/11,""))))</f>
        <v/>
      </c>
      <c r="O518" s="302" t="str">
        <f>IF($H518="Monthly",$E518/12,IF($H518="Quarterly (From April)",$E518/4,IF($H518="Termly",0,IF($H518="Monthly (excl. August)",$E518/11,""))))</f>
        <v/>
      </c>
      <c r="P518" s="302" t="str">
        <f t="shared" si="359"/>
        <v/>
      </c>
      <c r="Q518" s="302" t="str">
        <f t="shared" si="359"/>
        <v/>
      </c>
      <c r="R518" s="302" t="str">
        <f>IF($H518="Monthly",$E518/12,IF($H518="Quarterly (From April)",$E518/4,IF($H518="Termly",$E518/3,IF($H518="Monthly (excl. August)",$E518/11,""))))</f>
        <v/>
      </c>
      <c r="S518" s="302" t="str">
        <f t="shared" si="360"/>
        <v/>
      </c>
      <c r="T518" s="302" t="str">
        <f t="shared" si="360"/>
        <v/>
      </c>
      <c r="U518" s="303">
        <f>E518</f>
        <v>0</v>
      </c>
      <c r="V518" s="214">
        <f>IF(ROUND(SUM(I518:T518),0)&gt;U518,1,IF(ROUND(SUM(I518:T518),0)&lt;U518,1,0))</f>
        <v>0</v>
      </c>
      <c r="W518" s="322">
        <f>ROUND(SUM(I518:T518)-U518,0)</f>
        <v>0</v>
      </c>
    </row>
    <row r="519" spans="1:23" x14ac:dyDescent="0.2">
      <c r="A519" s="1093"/>
      <c r="B519" s="160"/>
      <c r="C519" s="108"/>
      <c r="D519" s="95"/>
      <c r="E519" s="250"/>
      <c r="F519" s="251"/>
      <c r="H519" s="43" t="s">
        <v>267</v>
      </c>
      <c r="I519" s="302" t="str">
        <f>IF($H519="Monthly",$E519/12,IF($H519="Quarterly (From April)",$E519/4,IF($H519="Termly",$E519/3,IF($H519="Monthly (excl. August)",$E519/11,""))))</f>
        <v/>
      </c>
      <c r="J519" s="302" t="str">
        <f t="shared" si="358"/>
        <v/>
      </c>
      <c r="K519" s="302" t="str">
        <f t="shared" si="358"/>
        <v/>
      </c>
      <c r="L519" s="302" t="str">
        <f>IF($H519="Monthly",$E519/12,IF($H519="Quarterly (From April)",$E519/4,IF($H519="Termly",0,IF($H519="Monthly (excl. August)",$E519/11,""))))</f>
        <v/>
      </c>
      <c r="M519" s="302" t="str">
        <f>IF($H519="Monthly",$E519/12,IF($H519="Quarterly (From April)",0,IF($H519="Termly",0,IF($H519="Monthly (excl. August)",0,""))))</f>
        <v/>
      </c>
      <c r="N519" s="302" t="str">
        <f>IF($H519="Monthly",$E519/12,IF($H519="Quarterly (From April)",0,IF($H519="Termly",$E519/3,IF($H519="Monthly (excl. August)",$E519/11,""))))</f>
        <v/>
      </c>
      <c r="O519" s="302" t="str">
        <f>IF($H519="Monthly",$E519/12,IF($H519="Quarterly (From April)",$E519/4,IF($H519="Termly",0,IF($H519="Monthly (excl. August)",$E519/11,""))))</f>
        <v/>
      </c>
      <c r="P519" s="302" t="str">
        <f t="shared" si="359"/>
        <v/>
      </c>
      <c r="Q519" s="302" t="str">
        <f t="shared" si="359"/>
        <v/>
      </c>
      <c r="R519" s="302" t="str">
        <f>IF($H519="Monthly",$E519/12,IF($H519="Quarterly (From April)",$E519/4,IF($H519="Termly",$E519/3,IF($H519="Monthly (excl. August)",$E519/11,""))))</f>
        <v/>
      </c>
      <c r="S519" s="302" t="str">
        <f t="shared" si="360"/>
        <v/>
      </c>
      <c r="T519" s="302" t="str">
        <f t="shared" si="360"/>
        <v/>
      </c>
      <c r="U519" s="303">
        <f>E519</f>
        <v>0</v>
      </c>
      <c r="V519" s="214">
        <f>IF(ROUND(SUM(I519:T519),0)&gt;U519,1,IF(ROUND(SUM(I519:T519),0)&lt;U519,1,0))</f>
        <v>0</v>
      </c>
      <c r="W519" s="322">
        <f>ROUND(SUM(I519:T519)-U519,0)</f>
        <v>0</v>
      </c>
    </row>
    <row r="520" spans="1:23" ht="13.5" thickBot="1" x14ac:dyDescent="0.25">
      <c r="A520" s="1094"/>
      <c r="B520" s="161"/>
      <c r="C520" s="109"/>
      <c r="D520" s="100"/>
      <c r="E520" s="256"/>
      <c r="F520" s="257">
        <f>SUM(E517:E520)</f>
        <v>0</v>
      </c>
      <c r="H520" s="43" t="s">
        <v>267</v>
      </c>
      <c r="I520" s="302" t="str">
        <f>IF($H520="Monthly",$E520/12,IF($H520="Quarterly (From April)",$E520/4,IF($H520="Termly",$E520/3,IF($H520="Monthly (excl. August)",$E520/11,""))))</f>
        <v/>
      </c>
      <c r="J520" s="302" t="str">
        <f t="shared" si="358"/>
        <v/>
      </c>
      <c r="K520" s="302" t="str">
        <f t="shared" si="358"/>
        <v/>
      </c>
      <c r="L520" s="302" t="str">
        <f>IF($H520="Monthly",$E520/12,IF($H520="Quarterly (From April)",$E520/4,IF($H520="Termly",0,IF($H520="Monthly (excl. August)",$E520/11,""))))</f>
        <v/>
      </c>
      <c r="M520" s="302" t="str">
        <f>IF($H520="Monthly",$E520/12,IF($H520="Quarterly (From April)",0,IF($H520="Termly",0,IF($H520="Monthly (excl. August)",0,""))))</f>
        <v/>
      </c>
      <c r="N520" s="302" t="str">
        <f>IF($H520="Monthly",$E520/12,IF($H520="Quarterly (From April)",0,IF($H520="Termly",$E520/3,IF($H520="Monthly (excl. August)",$E520/11,""))))</f>
        <v/>
      </c>
      <c r="O520" s="302" t="str">
        <f>IF($H520="Monthly",$E520/12,IF($H520="Quarterly (From April)",$E520/4,IF($H520="Termly",0,IF($H520="Monthly (excl. August)",$E520/11,""))))</f>
        <v/>
      </c>
      <c r="P520" s="302" t="str">
        <f t="shared" si="359"/>
        <v/>
      </c>
      <c r="Q520" s="302" t="str">
        <f t="shared" si="359"/>
        <v/>
      </c>
      <c r="R520" s="302" t="str">
        <f>IF($H520="Monthly",$E520/12,IF($H520="Quarterly (From April)",$E520/4,IF($H520="Termly",$E520/3,IF($H520="Monthly (excl. August)",$E520/11,""))))</f>
        <v/>
      </c>
      <c r="S520" s="302" t="str">
        <f t="shared" si="360"/>
        <v/>
      </c>
      <c r="T520" s="302" t="str">
        <f t="shared" si="360"/>
        <v/>
      </c>
      <c r="U520" s="303">
        <f>E520</f>
        <v>0</v>
      </c>
      <c r="V520" s="214">
        <f>IF(ROUND(SUM(I520:T520),0)&gt;U520,1,IF(ROUND(SUM(I520:T520),0)&lt;U520,1,0))</f>
        <v>0</v>
      </c>
      <c r="W520" s="322">
        <f>ROUND(SUM(I520:T520)-U520,0)</f>
        <v>0</v>
      </c>
    </row>
    <row r="521" spans="1:23" ht="13.5" thickBot="1" x14ac:dyDescent="0.25">
      <c r="A521" s="45"/>
      <c r="B521" s="119"/>
      <c r="C521" s="111"/>
      <c r="D521" s="107"/>
      <c r="E521" s="267"/>
      <c r="F521" s="270"/>
      <c r="I521" s="306"/>
      <c r="J521" s="306"/>
      <c r="K521" s="306"/>
      <c r="L521" s="306"/>
      <c r="M521" s="306"/>
      <c r="N521" s="306"/>
      <c r="O521" s="306"/>
      <c r="P521" s="306"/>
      <c r="Q521" s="306"/>
      <c r="R521" s="306"/>
      <c r="S521" s="306"/>
      <c r="T521" s="306"/>
      <c r="U521" s="305"/>
      <c r="W521" s="322"/>
    </row>
    <row r="522" spans="1:23" ht="12.75" customHeight="1" x14ac:dyDescent="0.2">
      <c r="A522" s="1092" t="s">
        <v>530</v>
      </c>
      <c r="B522" s="170"/>
      <c r="C522" s="113"/>
      <c r="D522" s="93"/>
      <c r="E522" s="246"/>
      <c r="F522" s="247"/>
      <c r="H522" s="43" t="s">
        <v>267</v>
      </c>
      <c r="I522" s="302" t="str">
        <f>IF($H522="Monthly",$E522/12,IF($H522="Quarterly (From April)",$E522/4,IF($H522="Termly",$E522/3,IF($H522="Monthly (excl. August)",$E522/11,""))))</f>
        <v/>
      </c>
      <c r="J522" s="302" t="str">
        <f t="shared" ref="J522:K525" si="361">IF($H522="Monthly",$E522/12,IF($H522="Quarterly (From April)",0,IF($H522="Termly",0,IF($H522="Monthly (excl. August)",$E522/11,""))))</f>
        <v/>
      </c>
      <c r="K522" s="302" t="str">
        <f t="shared" si="361"/>
        <v/>
      </c>
      <c r="L522" s="302" t="str">
        <f>IF($H522="Monthly",$E522/12,IF($H522="Quarterly (From April)",$E522/4,IF($H522="Termly",0,IF($H522="Monthly (excl. August)",$E522/11,""))))</f>
        <v/>
      </c>
      <c r="M522" s="302" t="str">
        <f>IF($H522="Monthly",$E522/12,IF($H522="Quarterly (From April)",0,IF($H522="Termly",0,IF($H522="Monthly (excl. August)",0,""))))</f>
        <v/>
      </c>
      <c r="N522" s="302" t="str">
        <f>IF($H522="Monthly",$E522/12,IF($H522="Quarterly (From April)",0,IF($H522="Termly",$E522/3,IF($H522="Monthly (excl. August)",$E522/11,""))))</f>
        <v/>
      </c>
      <c r="O522" s="302" t="str">
        <f>IF($H522="Monthly",$E522/12,IF($H522="Quarterly (From April)",$E522/4,IF($H522="Termly",0,IF($H522="Monthly (excl. August)",$E522/11,""))))</f>
        <v/>
      </c>
      <c r="P522" s="302" t="str">
        <f t="shared" ref="P522:Q525" si="362">IF($H522="Monthly",$E522/12,IF($H522="Quarterly (From April)",0,IF($H522="Termly",0,IF($H522="Monthly (excl. August)",$E522/11,""))))</f>
        <v/>
      </c>
      <c r="Q522" s="302" t="str">
        <f t="shared" si="362"/>
        <v/>
      </c>
      <c r="R522" s="302" t="str">
        <f>IF($H522="Monthly",$E522/12,IF($H522="Quarterly (From April)",$E522/4,IF($H522="Termly",$E522/3,IF($H522="Monthly (excl. August)",$E522/11,""))))</f>
        <v/>
      </c>
      <c r="S522" s="302" t="str">
        <f t="shared" ref="S522:T525" si="363">IF($H522="Monthly",$E522/12,IF($H522="Quarterly (From April)",0,IF($H522="Termly",0,IF($H522="Monthly (excl. August)",$E522/11,""))))</f>
        <v/>
      </c>
      <c r="T522" s="302" t="str">
        <f t="shared" si="363"/>
        <v/>
      </c>
      <c r="U522" s="303">
        <f>E522</f>
        <v>0</v>
      </c>
      <c r="V522" s="214">
        <f>IF(ROUND(SUM(I522:T522),0)&gt;U522,1,IF(ROUND(SUM(I522:T522),0)&lt;U522,1,0))</f>
        <v>0</v>
      </c>
      <c r="W522" s="322">
        <f>ROUND(SUM(I522:T522)-U522,0)</f>
        <v>0</v>
      </c>
    </row>
    <row r="523" spans="1:23" x14ac:dyDescent="0.2">
      <c r="A523" s="1093"/>
      <c r="B523" s="160"/>
      <c r="C523" s="108"/>
      <c r="D523" s="95"/>
      <c r="E523" s="250"/>
      <c r="F523" s="251"/>
      <c r="H523" s="43" t="s">
        <v>267</v>
      </c>
      <c r="I523" s="302" t="str">
        <f>IF($H523="Monthly",$E523/12,IF($H523="Quarterly (From April)",$E523/4,IF($H523="Termly",$E523/3,IF($H523="Monthly (excl. August)",$E523/11,""))))</f>
        <v/>
      </c>
      <c r="J523" s="302" t="str">
        <f t="shared" si="361"/>
        <v/>
      </c>
      <c r="K523" s="302" t="str">
        <f t="shared" si="361"/>
        <v/>
      </c>
      <c r="L523" s="302" t="str">
        <f>IF($H523="Monthly",$E523/12,IF($H523="Quarterly (From April)",$E523/4,IF($H523="Termly",0,IF($H523="Monthly (excl. August)",$E523/11,""))))</f>
        <v/>
      </c>
      <c r="M523" s="302" t="str">
        <f>IF($H523="Monthly",$E523/12,IF($H523="Quarterly (From April)",0,IF($H523="Termly",0,IF($H523="Monthly (excl. August)",0,""))))</f>
        <v/>
      </c>
      <c r="N523" s="302" t="str">
        <f>IF($H523="Monthly",$E523/12,IF($H523="Quarterly (From April)",0,IF($H523="Termly",$E523/3,IF($H523="Monthly (excl. August)",$E523/11,""))))</f>
        <v/>
      </c>
      <c r="O523" s="302" t="str">
        <f>IF($H523="Monthly",$E523/12,IF($H523="Quarterly (From April)",$E523/4,IF($H523="Termly",0,IF($H523="Monthly (excl. August)",$E523/11,""))))</f>
        <v/>
      </c>
      <c r="P523" s="302" t="str">
        <f t="shared" si="362"/>
        <v/>
      </c>
      <c r="Q523" s="302" t="str">
        <f t="shared" si="362"/>
        <v/>
      </c>
      <c r="R523" s="302" t="str">
        <f>IF($H523="Monthly",$E523/12,IF($H523="Quarterly (From April)",$E523/4,IF($H523="Termly",$E523/3,IF($H523="Monthly (excl. August)",$E523/11,""))))</f>
        <v/>
      </c>
      <c r="S523" s="302" t="str">
        <f t="shared" si="363"/>
        <v/>
      </c>
      <c r="T523" s="302" t="str">
        <f t="shared" si="363"/>
        <v/>
      </c>
      <c r="U523" s="303">
        <f>E523</f>
        <v>0</v>
      </c>
      <c r="V523" s="214">
        <f>IF(ROUND(SUM(I523:T523),0)&gt;U523,1,IF(ROUND(SUM(I523:T523),0)&lt;U523,1,0))</f>
        <v>0</v>
      </c>
      <c r="W523" s="322">
        <f>ROUND(SUM(I523:T523)-U523,0)</f>
        <v>0</v>
      </c>
    </row>
    <row r="524" spans="1:23" x14ac:dyDescent="0.2">
      <c r="A524" s="1093"/>
      <c r="B524" s="160"/>
      <c r="C524" s="108"/>
      <c r="D524" s="95"/>
      <c r="E524" s="250"/>
      <c r="F524" s="251"/>
      <c r="H524" s="43" t="s">
        <v>267</v>
      </c>
      <c r="I524" s="302" t="str">
        <f>IF($H524="Monthly",$E524/12,IF($H524="Quarterly (From April)",$E524/4,IF($H524="Termly",$E524/3,IF($H524="Monthly (excl. August)",$E524/11,""))))</f>
        <v/>
      </c>
      <c r="J524" s="302" t="str">
        <f t="shared" si="361"/>
        <v/>
      </c>
      <c r="K524" s="302" t="str">
        <f t="shared" si="361"/>
        <v/>
      </c>
      <c r="L524" s="302" t="str">
        <f>IF($H524="Monthly",$E524/12,IF($H524="Quarterly (From April)",$E524/4,IF($H524="Termly",0,IF($H524="Monthly (excl. August)",$E524/11,""))))</f>
        <v/>
      </c>
      <c r="M524" s="302" t="str">
        <f>IF($H524="Monthly",$E524/12,IF($H524="Quarterly (From April)",0,IF($H524="Termly",0,IF($H524="Monthly (excl. August)",0,""))))</f>
        <v/>
      </c>
      <c r="N524" s="302" t="str">
        <f>IF($H524="Monthly",$E524/12,IF($H524="Quarterly (From April)",0,IF($H524="Termly",$E524/3,IF($H524="Monthly (excl. August)",$E524/11,""))))</f>
        <v/>
      </c>
      <c r="O524" s="302" t="str">
        <f>IF($H524="Monthly",$E524/12,IF($H524="Quarterly (From April)",$E524/4,IF($H524="Termly",0,IF($H524="Monthly (excl. August)",$E524/11,""))))</f>
        <v/>
      </c>
      <c r="P524" s="302" t="str">
        <f t="shared" si="362"/>
        <v/>
      </c>
      <c r="Q524" s="302" t="str">
        <f t="shared" si="362"/>
        <v/>
      </c>
      <c r="R524" s="302" t="str">
        <f>IF($H524="Monthly",$E524/12,IF($H524="Quarterly (From April)",$E524/4,IF($H524="Termly",$E524/3,IF($H524="Monthly (excl. August)",$E524/11,""))))</f>
        <v/>
      </c>
      <c r="S524" s="302" t="str">
        <f t="shared" si="363"/>
        <v/>
      </c>
      <c r="T524" s="302" t="str">
        <f t="shared" si="363"/>
        <v/>
      </c>
      <c r="U524" s="303">
        <f>E524</f>
        <v>0</v>
      </c>
      <c r="V524" s="214">
        <f>IF(ROUND(SUM(I524:T524),0)&gt;U524,1,IF(ROUND(SUM(I524:T524),0)&lt;U524,1,0))</f>
        <v>0</v>
      </c>
      <c r="W524" s="322">
        <f>ROUND(SUM(I524:T524)-U524,0)</f>
        <v>0</v>
      </c>
    </row>
    <row r="525" spans="1:23" ht="13.5" thickBot="1" x14ac:dyDescent="0.25">
      <c r="A525" s="1094"/>
      <c r="B525" s="161"/>
      <c r="C525" s="109"/>
      <c r="D525" s="100"/>
      <c r="E525" s="256"/>
      <c r="F525" s="257">
        <f>SUM(E522:E525)</f>
        <v>0</v>
      </c>
      <c r="H525" s="43" t="s">
        <v>267</v>
      </c>
      <c r="I525" s="302" t="str">
        <f>IF($H525="Monthly",$E525/12,IF($H525="Quarterly (From April)",$E525/4,IF($H525="Termly",$E525/3,IF($H525="Monthly (excl. August)",$E525/11,""))))</f>
        <v/>
      </c>
      <c r="J525" s="302" t="str">
        <f t="shared" si="361"/>
        <v/>
      </c>
      <c r="K525" s="302" t="str">
        <f t="shared" si="361"/>
        <v/>
      </c>
      <c r="L525" s="302" t="str">
        <f>IF($H525="Monthly",$E525/12,IF($H525="Quarterly (From April)",$E525/4,IF($H525="Termly",0,IF($H525="Monthly (excl. August)",$E525/11,""))))</f>
        <v/>
      </c>
      <c r="M525" s="302" t="str">
        <f>IF($H525="Monthly",$E525/12,IF($H525="Quarterly (From April)",0,IF($H525="Termly",0,IF($H525="Monthly (excl. August)",0,""))))</f>
        <v/>
      </c>
      <c r="N525" s="302" t="str">
        <f>IF($H525="Monthly",$E525/12,IF($H525="Quarterly (From April)",0,IF($H525="Termly",$E525/3,IF($H525="Monthly (excl. August)",$E525/11,""))))</f>
        <v/>
      </c>
      <c r="O525" s="302" t="str">
        <f>IF($H525="Monthly",$E525/12,IF($H525="Quarterly (From April)",$E525/4,IF($H525="Termly",0,IF($H525="Monthly (excl. August)",$E525/11,""))))</f>
        <v/>
      </c>
      <c r="P525" s="302" t="str">
        <f t="shared" si="362"/>
        <v/>
      </c>
      <c r="Q525" s="302" t="str">
        <f t="shared" si="362"/>
        <v/>
      </c>
      <c r="R525" s="302" t="str">
        <f>IF($H525="Monthly",$E525/12,IF($H525="Quarterly (From April)",$E525/4,IF($H525="Termly",$E525/3,IF($H525="Monthly (excl. August)",$E525/11,""))))</f>
        <v/>
      </c>
      <c r="S525" s="302" t="str">
        <f t="shared" si="363"/>
        <v/>
      </c>
      <c r="T525" s="302" t="str">
        <f t="shared" si="363"/>
        <v/>
      </c>
      <c r="U525" s="303">
        <f>E525</f>
        <v>0</v>
      </c>
      <c r="V525" s="214">
        <f>IF(ROUND(SUM(I525:T525),0)&gt;U525,1,IF(ROUND(SUM(I525:T525),0)&lt;U525,1,0))</f>
        <v>0</v>
      </c>
      <c r="W525" s="322">
        <f>ROUND(SUM(I525:T525)-U525,0)</f>
        <v>0</v>
      </c>
    </row>
    <row r="526" spans="1:23" ht="13.5" thickBot="1" x14ac:dyDescent="0.25">
      <c r="A526" s="45"/>
      <c r="B526" s="119"/>
      <c r="C526" s="111"/>
      <c r="D526" s="107"/>
      <c r="E526" s="267"/>
      <c r="F526" s="270"/>
      <c r="I526" s="306"/>
      <c r="J526" s="306"/>
      <c r="K526" s="306"/>
      <c r="L526" s="306"/>
      <c r="M526" s="306"/>
      <c r="N526" s="306"/>
      <c r="O526" s="306"/>
      <c r="P526" s="306"/>
      <c r="Q526" s="306"/>
      <c r="R526" s="306"/>
      <c r="S526" s="306"/>
      <c r="T526" s="306"/>
      <c r="U526" s="305"/>
      <c r="W526" s="322"/>
    </row>
    <row r="527" spans="1:23" ht="12.75" customHeight="1" x14ac:dyDescent="0.2">
      <c r="A527" s="1092" t="s">
        <v>530</v>
      </c>
      <c r="B527" s="170"/>
      <c r="C527" s="113"/>
      <c r="D527" s="93"/>
      <c r="E527" s="246"/>
      <c r="F527" s="247"/>
      <c r="H527" s="43" t="s">
        <v>267</v>
      </c>
      <c r="I527" s="302" t="str">
        <f>IF($H527="Monthly",$E527/12,IF($H527="Quarterly (From April)",$E527/4,IF($H527="Termly",$E527/3,IF($H527="Monthly (excl. August)",$E527/11,""))))</f>
        <v/>
      </c>
      <c r="J527" s="302" t="str">
        <f t="shared" ref="J527:K530" si="364">IF($H527="Monthly",$E527/12,IF($H527="Quarterly (From April)",0,IF($H527="Termly",0,IF($H527="Monthly (excl. August)",$E527/11,""))))</f>
        <v/>
      </c>
      <c r="K527" s="302" t="str">
        <f t="shared" si="364"/>
        <v/>
      </c>
      <c r="L527" s="302" t="str">
        <f>IF($H527="Monthly",$E527/12,IF($H527="Quarterly (From April)",$E527/4,IF($H527="Termly",0,IF($H527="Monthly (excl. August)",$E527/11,""))))</f>
        <v/>
      </c>
      <c r="M527" s="302" t="str">
        <f>IF($H527="Monthly",$E527/12,IF($H527="Quarterly (From April)",0,IF($H527="Termly",0,IF($H527="Monthly (excl. August)",0,""))))</f>
        <v/>
      </c>
      <c r="N527" s="302" t="str">
        <f>IF($H527="Monthly",$E527/12,IF($H527="Quarterly (From April)",0,IF($H527="Termly",$E527/3,IF($H527="Monthly (excl. August)",$E527/11,""))))</f>
        <v/>
      </c>
      <c r="O527" s="302" t="str">
        <f>IF($H527="Monthly",$E527/12,IF($H527="Quarterly (From April)",$E527/4,IF($H527="Termly",0,IF($H527="Monthly (excl. August)",$E527/11,""))))</f>
        <v/>
      </c>
      <c r="P527" s="302" t="str">
        <f t="shared" ref="P527:Q530" si="365">IF($H527="Monthly",$E527/12,IF($H527="Quarterly (From April)",0,IF($H527="Termly",0,IF($H527="Monthly (excl. August)",$E527/11,""))))</f>
        <v/>
      </c>
      <c r="Q527" s="302" t="str">
        <f t="shared" si="365"/>
        <v/>
      </c>
      <c r="R527" s="302" t="str">
        <f>IF($H527="Monthly",$E527/12,IF($H527="Quarterly (From April)",$E527/4,IF($H527="Termly",$E527/3,IF($H527="Monthly (excl. August)",$E527/11,""))))</f>
        <v/>
      </c>
      <c r="S527" s="302" t="str">
        <f t="shared" ref="S527:T530" si="366">IF($H527="Monthly",$E527/12,IF($H527="Quarterly (From April)",0,IF($H527="Termly",0,IF($H527="Monthly (excl. August)",$E527/11,""))))</f>
        <v/>
      </c>
      <c r="T527" s="302" t="str">
        <f t="shared" si="366"/>
        <v/>
      </c>
      <c r="U527" s="303">
        <f>E527</f>
        <v>0</v>
      </c>
      <c r="V527" s="214">
        <f>IF(ROUND(SUM(I527:T527),0)&gt;U527,1,IF(ROUND(SUM(I527:T527),0)&lt;U527,1,0))</f>
        <v>0</v>
      </c>
      <c r="W527" s="322">
        <f>ROUND(SUM(I527:T527)-U527,0)</f>
        <v>0</v>
      </c>
    </row>
    <row r="528" spans="1:23" x14ac:dyDescent="0.2">
      <c r="A528" s="1093"/>
      <c r="B528" s="160"/>
      <c r="C528" s="108"/>
      <c r="D528" s="95"/>
      <c r="E528" s="250"/>
      <c r="F528" s="251"/>
      <c r="H528" s="43" t="s">
        <v>267</v>
      </c>
      <c r="I528" s="302" t="str">
        <f>IF($H528="Monthly",$E528/12,IF($H528="Quarterly (From April)",$E528/4,IF($H528="Termly",$E528/3,IF($H528="Monthly (excl. August)",$E528/11,""))))</f>
        <v/>
      </c>
      <c r="J528" s="302" t="str">
        <f t="shared" si="364"/>
        <v/>
      </c>
      <c r="K528" s="302" t="str">
        <f t="shared" si="364"/>
        <v/>
      </c>
      <c r="L528" s="302" t="str">
        <f>IF($H528="Monthly",$E528/12,IF($H528="Quarterly (From April)",$E528/4,IF($H528="Termly",0,IF($H528="Monthly (excl. August)",$E528/11,""))))</f>
        <v/>
      </c>
      <c r="M528" s="302" t="str">
        <f>IF($H528="Monthly",$E528/12,IF($H528="Quarterly (From April)",0,IF($H528="Termly",0,IF($H528="Monthly (excl. August)",0,""))))</f>
        <v/>
      </c>
      <c r="N528" s="302" t="str">
        <f>IF($H528="Monthly",$E528/12,IF($H528="Quarterly (From April)",0,IF($H528="Termly",$E528/3,IF($H528="Monthly (excl. August)",$E528/11,""))))</f>
        <v/>
      </c>
      <c r="O528" s="302" t="str">
        <f>IF($H528="Monthly",$E528/12,IF($H528="Quarterly (From April)",$E528/4,IF($H528="Termly",0,IF($H528="Monthly (excl. August)",$E528/11,""))))</f>
        <v/>
      </c>
      <c r="P528" s="302" t="str">
        <f t="shared" si="365"/>
        <v/>
      </c>
      <c r="Q528" s="302" t="str">
        <f t="shared" si="365"/>
        <v/>
      </c>
      <c r="R528" s="302" t="str">
        <f>IF($H528="Monthly",$E528/12,IF($H528="Quarterly (From April)",$E528/4,IF($H528="Termly",$E528/3,IF($H528="Monthly (excl. August)",$E528/11,""))))</f>
        <v/>
      </c>
      <c r="S528" s="302" t="str">
        <f t="shared" si="366"/>
        <v/>
      </c>
      <c r="T528" s="302" t="str">
        <f t="shared" si="366"/>
        <v/>
      </c>
      <c r="U528" s="303">
        <f>E528</f>
        <v>0</v>
      </c>
      <c r="V528" s="214">
        <f>IF(ROUND(SUM(I528:T528),0)&gt;U528,1,IF(ROUND(SUM(I528:T528),0)&lt;U528,1,0))</f>
        <v>0</v>
      </c>
      <c r="W528" s="322">
        <f>ROUND(SUM(I528:T528)-U528,0)</f>
        <v>0</v>
      </c>
    </row>
    <row r="529" spans="1:23" x14ac:dyDescent="0.2">
      <c r="A529" s="1093"/>
      <c r="B529" s="160"/>
      <c r="C529" s="108"/>
      <c r="D529" s="95"/>
      <c r="E529" s="250"/>
      <c r="F529" s="251"/>
      <c r="H529" s="43" t="s">
        <v>267</v>
      </c>
      <c r="I529" s="302" t="str">
        <f>IF($H529="Monthly",$E529/12,IF($H529="Quarterly (From April)",$E529/4,IF($H529="Termly",$E529/3,IF($H529="Monthly (excl. August)",$E529/11,""))))</f>
        <v/>
      </c>
      <c r="J529" s="302" t="str">
        <f t="shared" si="364"/>
        <v/>
      </c>
      <c r="K529" s="302" t="str">
        <f t="shared" si="364"/>
        <v/>
      </c>
      <c r="L529" s="302" t="str">
        <f>IF($H529="Monthly",$E529/12,IF($H529="Quarterly (From April)",$E529/4,IF($H529="Termly",0,IF($H529="Monthly (excl. August)",$E529/11,""))))</f>
        <v/>
      </c>
      <c r="M529" s="302" t="str">
        <f>IF($H529="Monthly",$E529/12,IF($H529="Quarterly (From April)",0,IF($H529="Termly",0,IF($H529="Monthly (excl. August)",0,""))))</f>
        <v/>
      </c>
      <c r="N529" s="302" t="str">
        <f>IF($H529="Monthly",$E529/12,IF($H529="Quarterly (From April)",0,IF($H529="Termly",$E529/3,IF($H529="Monthly (excl. August)",$E529/11,""))))</f>
        <v/>
      </c>
      <c r="O529" s="302" t="str">
        <f>IF($H529="Monthly",$E529/12,IF($H529="Quarterly (From April)",$E529/4,IF($H529="Termly",0,IF($H529="Monthly (excl. August)",$E529/11,""))))</f>
        <v/>
      </c>
      <c r="P529" s="302" t="str">
        <f t="shared" si="365"/>
        <v/>
      </c>
      <c r="Q529" s="302" t="str">
        <f t="shared" si="365"/>
        <v/>
      </c>
      <c r="R529" s="302" t="str">
        <f>IF($H529="Monthly",$E529/12,IF($H529="Quarterly (From April)",$E529/4,IF($H529="Termly",$E529/3,IF($H529="Monthly (excl. August)",$E529/11,""))))</f>
        <v/>
      </c>
      <c r="S529" s="302" t="str">
        <f t="shared" si="366"/>
        <v/>
      </c>
      <c r="T529" s="302" t="str">
        <f t="shared" si="366"/>
        <v/>
      </c>
      <c r="U529" s="303">
        <f>E529</f>
        <v>0</v>
      </c>
      <c r="V529" s="214">
        <f>IF(ROUND(SUM(I529:T529),0)&gt;U529,1,IF(ROUND(SUM(I529:T529),0)&lt;U529,1,0))</f>
        <v>0</v>
      </c>
      <c r="W529" s="322">
        <f>ROUND(SUM(I529:T529)-U529,0)</f>
        <v>0</v>
      </c>
    </row>
    <row r="530" spans="1:23" ht="13.5" thickBot="1" x14ac:dyDescent="0.25">
      <c r="A530" s="1094"/>
      <c r="B530" s="161"/>
      <c r="C530" s="109"/>
      <c r="D530" s="100"/>
      <c r="E530" s="256"/>
      <c r="F530" s="257">
        <f>SUM(E527:E530)</f>
        <v>0</v>
      </c>
      <c r="H530" s="43" t="s">
        <v>267</v>
      </c>
      <c r="I530" s="302" t="str">
        <f>IF($H530="Monthly",$E530/12,IF($H530="Quarterly (From April)",$E530/4,IF($H530="Termly",$E530/3,IF($H530="Monthly (excl. August)",$E530/11,""))))</f>
        <v/>
      </c>
      <c r="J530" s="302" t="str">
        <f t="shared" si="364"/>
        <v/>
      </c>
      <c r="K530" s="302" t="str">
        <f t="shared" si="364"/>
        <v/>
      </c>
      <c r="L530" s="302" t="str">
        <f>IF($H530="Monthly",$E530/12,IF($H530="Quarterly (From April)",$E530/4,IF($H530="Termly",0,IF($H530="Monthly (excl. August)",$E530/11,""))))</f>
        <v/>
      </c>
      <c r="M530" s="302" t="str">
        <f>IF($H530="Monthly",$E530/12,IF($H530="Quarterly (From April)",0,IF($H530="Termly",0,IF($H530="Monthly (excl. August)",0,""))))</f>
        <v/>
      </c>
      <c r="N530" s="302" t="str">
        <f>IF($H530="Monthly",$E530/12,IF($H530="Quarterly (From April)",0,IF($H530="Termly",$E530/3,IF($H530="Monthly (excl. August)",$E530/11,""))))</f>
        <v/>
      </c>
      <c r="O530" s="302" t="str">
        <f>IF($H530="Monthly",$E530/12,IF($H530="Quarterly (From April)",$E530/4,IF($H530="Termly",0,IF($H530="Monthly (excl. August)",$E530/11,""))))</f>
        <v/>
      </c>
      <c r="P530" s="302" t="str">
        <f t="shared" si="365"/>
        <v/>
      </c>
      <c r="Q530" s="302" t="str">
        <f t="shared" si="365"/>
        <v/>
      </c>
      <c r="R530" s="302" t="str">
        <f>IF($H530="Monthly",$E530/12,IF($H530="Quarterly (From April)",$E530/4,IF($H530="Termly",$E530/3,IF($H530="Monthly (excl. August)",$E530/11,""))))</f>
        <v/>
      </c>
      <c r="S530" s="302" t="str">
        <f t="shared" si="366"/>
        <v/>
      </c>
      <c r="T530" s="302" t="str">
        <f t="shared" si="366"/>
        <v/>
      </c>
      <c r="U530" s="303">
        <f>E530</f>
        <v>0</v>
      </c>
      <c r="V530" s="214">
        <f>IF(ROUND(SUM(I530:T530),0)&gt;U530,1,IF(ROUND(SUM(I530:T530),0)&lt;U530,1,0))</f>
        <v>0</v>
      </c>
      <c r="W530" s="322">
        <f>ROUND(SUM(I530:T530)-U530,0)</f>
        <v>0</v>
      </c>
    </row>
    <row r="531" spans="1:23" ht="13.5" thickBot="1" x14ac:dyDescent="0.25">
      <c r="A531" s="45"/>
      <c r="B531" s="119"/>
      <c r="C531" s="111"/>
      <c r="D531" s="107"/>
      <c r="E531" s="267"/>
      <c r="F531" s="270"/>
      <c r="I531" s="306"/>
      <c r="J531" s="306"/>
      <c r="K531" s="306"/>
      <c r="L531" s="306"/>
      <c r="M531" s="306"/>
      <c r="N531" s="306"/>
      <c r="O531" s="306"/>
      <c r="P531" s="306"/>
      <c r="Q531" s="306"/>
      <c r="R531" s="306"/>
      <c r="S531" s="306"/>
      <c r="T531" s="306"/>
      <c r="U531" s="305"/>
      <c r="W531" s="322"/>
    </row>
    <row r="532" spans="1:23" ht="12.75" customHeight="1" x14ac:dyDescent="0.2">
      <c r="A532" s="1092" t="s">
        <v>530</v>
      </c>
      <c r="B532" s="170"/>
      <c r="C532" s="113"/>
      <c r="D532" s="93"/>
      <c r="E532" s="246"/>
      <c r="F532" s="247"/>
      <c r="H532" s="43" t="s">
        <v>267</v>
      </c>
      <c r="I532" s="302" t="str">
        <f>IF($H532="Monthly",$E532/12,IF($H532="Quarterly (From April)",$E532/4,IF($H532="Termly",$E532/3,IF($H532="Monthly (excl. August)",$E532/11,""))))</f>
        <v/>
      </c>
      <c r="J532" s="302" t="str">
        <f t="shared" ref="J532:K535" si="367">IF($H532="Monthly",$E532/12,IF($H532="Quarterly (From April)",0,IF($H532="Termly",0,IF($H532="Monthly (excl. August)",$E532/11,""))))</f>
        <v/>
      </c>
      <c r="K532" s="302" t="str">
        <f t="shared" si="367"/>
        <v/>
      </c>
      <c r="L532" s="302" t="str">
        <f>IF($H532="Monthly",$E532/12,IF($H532="Quarterly (From April)",$E532/4,IF($H532="Termly",0,IF($H532="Monthly (excl. August)",$E532/11,""))))</f>
        <v/>
      </c>
      <c r="M532" s="302" t="str">
        <f>IF($H532="Monthly",$E532/12,IF($H532="Quarterly (From April)",0,IF($H532="Termly",0,IF($H532="Monthly (excl. August)",0,""))))</f>
        <v/>
      </c>
      <c r="N532" s="302" t="str">
        <f>IF($H532="Monthly",$E532/12,IF($H532="Quarterly (From April)",0,IF($H532="Termly",$E532/3,IF($H532="Monthly (excl. August)",$E532/11,""))))</f>
        <v/>
      </c>
      <c r="O532" s="302" t="str">
        <f>IF($H532="Monthly",$E532/12,IF($H532="Quarterly (From April)",$E532/4,IF($H532="Termly",0,IF($H532="Monthly (excl. August)",$E532/11,""))))</f>
        <v/>
      </c>
      <c r="P532" s="302" t="str">
        <f t="shared" ref="P532:Q535" si="368">IF($H532="Monthly",$E532/12,IF($H532="Quarterly (From April)",0,IF($H532="Termly",0,IF($H532="Monthly (excl. August)",$E532/11,""))))</f>
        <v/>
      </c>
      <c r="Q532" s="302" t="str">
        <f t="shared" si="368"/>
        <v/>
      </c>
      <c r="R532" s="302" t="str">
        <f>IF($H532="Monthly",$E532/12,IF($H532="Quarterly (From April)",$E532/4,IF($H532="Termly",$E532/3,IF($H532="Monthly (excl. August)",$E532/11,""))))</f>
        <v/>
      </c>
      <c r="S532" s="302" t="str">
        <f t="shared" ref="S532:T535" si="369">IF($H532="Monthly",$E532/12,IF($H532="Quarterly (From April)",0,IF($H532="Termly",0,IF($H532="Monthly (excl. August)",$E532/11,""))))</f>
        <v/>
      </c>
      <c r="T532" s="302" t="str">
        <f t="shared" si="369"/>
        <v/>
      </c>
      <c r="U532" s="303">
        <f>E532</f>
        <v>0</v>
      </c>
      <c r="V532" s="214">
        <f>IF(ROUND(SUM(I532:T532),0)&gt;U532,1,IF(ROUND(SUM(I532:T532),0)&lt;U532,1,0))</f>
        <v>0</v>
      </c>
      <c r="W532" s="322">
        <f>ROUND(SUM(I532:T532)-U532,0)</f>
        <v>0</v>
      </c>
    </row>
    <row r="533" spans="1:23" x14ac:dyDescent="0.2">
      <c r="A533" s="1093"/>
      <c r="B533" s="160"/>
      <c r="C533" s="108"/>
      <c r="D533" s="95"/>
      <c r="E533" s="250"/>
      <c r="F533" s="251"/>
      <c r="H533" s="43" t="s">
        <v>267</v>
      </c>
      <c r="I533" s="302" t="str">
        <f>IF($H533="Monthly",$E533/12,IF($H533="Quarterly (From April)",$E533/4,IF($H533="Termly",$E533/3,IF($H533="Monthly (excl. August)",$E533/11,""))))</f>
        <v/>
      </c>
      <c r="J533" s="302" t="str">
        <f t="shared" si="367"/>
        <v/>
      </c>
      <c r="K533" s="302" t="str">
        <f t="shared" si="367"/>
        <v/>
      </c>
      <c r="L533" s="302" t="str">
        <f>IF($H533="Monthly",$E533/12,IF($H533="Quarterly (From April)",$E533/4,IF($H533="Termly",0,IF($H533="Monthly (excl. August)",$E533/11,""))))</f>
        <v/>
      </c>
      <c r="M533" s="302" t="str">
        <f>IF($H533="Monthly",$E533/12,IF($H533="Quarterly (From April)",0,IF($H533="Termly",0,IF($H533="Monthly (excl. August)",0,""))))</f>
        <v/>
      </c>
      <c r="N533" s="302" t="str">
        <f>IF($H533="Monthly",$E533/12,IF($H533="Quarterly (From April)",0,IF($H533="Termly",$E533/3,IF($H533="Monthly (excl. August)",$E533/11,""))))</f>
        <v/>
      </c>
      <c r="O533" s="302" t="str">
        <f>IF($H533="Monthly",$E533/12,IF($H533="Quarterly (From April)",$E533/4,IF($H533="Termly",0,IF($H533="Monthly (excl. August)",$E533/11,""))))</f>
        <v/>
      </c>
      <c r="P533" s="302" t="str">
        <f t="shared" si="368"/>
        <v/>
      </c>
      <c r="Q533" s="302" t="str">
        <f t="shared" si="368"/>
        <v/>
      </c>
      <c r="R533" s="302" t="str">
        <f>IF($H533="Monthly",$E533/12,IF($H533="Quarterly (From April)",$E533/4,IF($H533="Termly",$E533/3,IF($H533="Monthly (excl. August)",$E533/11,""))))</f>
        <v/>
      </c>
      <c r="S533" s="302" t="str">
        <f t="shared" si="369"/>
        <v/>
      </c>
      <c r="T533" s="302" t="str">
        <f t="shared" si="369"/>
        <v/>
      </c>
      <c r="U533" s="303">
        <f>E533</f>
        <v>0</v>
      </c>
      <c r="V533" s="214">
        <f>IF(ROUND(SUM(I533:T533),0)&gt;U533,1,IF(ROUND(SUM(I533:T533),0)&lt;U533,1,0))</f>
        <v>0</v>
      </c>
      <c r="W533" s="322">
        <f>ROUND(SUM(I533:T533)-U533,0)</f>
        <v>0</v>
      </c>
    </row>
    <row r="534" spans="1:23" x14ac:dyDescent="0.2">
      <c r="A534" s="1093"/>
      <c r="B534" s="160"/>
      <c r="C534" s="108"/>
      <c r="D534" s="95"/>
      <c r="E534" s="250"/>
      <c r="F534" s="251"/>
      <c r="H534" s="43" t="s">
        <v>267</v>
      </c>
      <c r="I534" s="302" t="str">
        <f>IF($H534="Monthly",$E534/12,IF($H534="Quarterly (From April)",$E534/4,IF($H534="Termly",$E534/3,IF($H534="Monthly (excl. August)",$E534/11,""))))</f>
        <v/>
      </c>
      <c r="J534" s="302" t="str">
        <f t="shared" si="367"/>
        <v/>
      </c>
      <c r="K534" s="302" t="str">
        <f t="shared" si="367"/>
        <v/>
      </c>
      <c r="L534" s="302" t="str">
        <f>IF($H534="Monthly",$E534/12,IF($H534="Quarterly (From April)",$E534/4,IF($H534="Termly",0,IF($H534="Monthly (excl. August)",$E534/11,""))))</f>
        <v/>
      </c>
      <c r="M534" s="302" t="str">
        <f>IF($H534="Monthly",$E534/12,IF($H534="Quarterly (From April)",0,IF($H534="Termly",0,IF($H534="Monthly (excl. August)",0,""))))</f>
        <v/>
      </c>
      <c r="N534" s="302" t="str">
        <f>IF($H534="Monthly",$E534/12,IF($H534="Quarterly (From April)",0,IF($H534="Termly",$E534/3,IF($H534="Monthly (excl. August)",$E534/11,""))))</f>
        <v/>
      </c>
      <c r="O534" s="302" t="str">
        <f>IF($H534="Monthly",$E534/12,IF($H534="Quarterly (From April)",$E534/4,IF($H534="Termly",0,IF($H534="Monthly (excl. August)",$E534/11,""))))</f>
        <v/>
      </c>
      <c r="P534" s="302" t="str">
        <f t="shared" si="368"/>
        <v/>
      </c>
      <c r="Q534" s="302" t="str">
        <f t="shared" si="368"/>
        <v/>
      </c>
      <c r="R534" s="302" t="str">
        <f>IF($H534="Monthly",$E534/12,IF($H534="Quarterly (From April)",$E534/4,IF($H534="Termly",$E534/3,IF($H534="Monthly (excl. August)",$E534/11,""))))</f>
        <v/>
      </c>
      <c r="S534" s="302" t="str">
        <f t="shared" si="369"/>
        <v/>
      </c>
      <c r="T534" s="302" t="str">
        <f t="shared" si="369"/>
        <v/>
      </c>
      <c r="U534" s="303">
        <f>E534</f>
        <v>0</v>
      </c>
      <c r="V534" s="214">
        <f>IF(ROUND(SUM(I534:T534),0)&gt;U534,1,IF(ROUND(SUM(I534:T534),0)&lt;U534,1,0))</f>
        <v>0</v>
      </c>
      <c r="W534" s="322">
        <f>ROUND(SUM(I534:T534)-U534,0)</f>
        <v>0</v>
      </c>
    </row>
    <row r="535" spans="1:23" ht="13.5" thickBot="1" x14ac:dyDescent="0.25">
      <c r="A535" s="1094"/>
      <c r="B535" s="161"/>
      <c r="C535" s="109"/>
      <c r="D535" s="100"/>
      <c r="E535" s="256"/>
      <c r="F535" s="257">
        <f>SUM(E532:E535)</f>
        <v>0</v>
      </c>
      <c r="H535" s="43" t="s">
        <v>267</v>
      </c>
      <c r="I535" s="302" t="str">
        <f>IF($H535="Monthly",$E535/12,IF($H535="Quarterly (From April)",$E535/4,IF($H535="Termly",$E535/3,IF($H535="Monthly (excl. August)",$E535/11,""))))</f>
        <v/>
      </c>
      <c r="J535" s="302" t="str">
        <f t="shared" si="367"/>
        <v/>
      </c>
      <c r="K535" s="302" t="str">
        <f t="shared" si="367"/>
        <v/>
      </c>
      <c r="L535" s="302" t="str">
        <f>IF($H535="Monthly",$E535/12,IF($H535="Quarterly (From April)",$E535/4,IF($H535="Termly",0,IF($H535="Monthly (excl. August)",$E535/11,""))))</f>
        <v/>
      </c>
      <c r="M535" s="302" t="str">
        <f>IF($H535="Monthly",$E535/12,IF($H535="Quarterly (From April)",0,IF($H535="Termly",0,IF($H535="Monthly (excl. August)",0,""))))</f>
        <v/>
      </c>
      <c r="N535" s="302" t="str">
        <f>IF($H535="Monthly",$E535/12,IF($H535="Quarterly (From April)",0,IF($H535="Termly",$E535/3,IF($H535="Monthly (excl. August)",$E535/11,""))))</f>
        <v/>
      </c>
      <c r="O535" s="302" t="str">
        <f>IF($H535="Monthly",$E535/12,IF($H535="Quarterly (From April)",$E535/4,IF($H535="Termly",0,IF($H535="Monthly (excl. August)",$E535/11,""))))</f>
        <v/>
      </c>
      <c r="P535" s="302" t="str">
        <f t="shared" si="368"/>
        <v/>
      </c>
      <c r="Q535" s="302" t="str">
        <f t="shared" si="368"/>
        <v/>
      </c>
      <c r="R535" s="302" t="str">
        <f>IF($H535="Monthly",$E535/12,IF($H535="Quarterly (From April)",$E535/4,IF($H535="Termly",$E535/3,IF($H535="Monthly (excl. August)",$E535/11,""))))</f>
        <v/>
      </c>
      <c r="S535" s="302" t="str">
        <f t="shared" si="369"/>
        <v/>
      </c>
      <c r="T535" s="302" t="str">
        <f t="shared" si="369"/>
        <v/>
      </c>
      <c r="U535" s="303">
        <f>E535</f>
        <v>0</v>
      </c>
      <c r="V535" s="214">
        <f>IF(ROUND(SUM(I535:T535),0)&gt;U535,1,IF(ROUND(SUM(I535:T535),0)&lt;U535,1,0))</f>
        <v>0</v>
      </c>
      <c r="W535" s="322">
        <f>ROUND(SUM(I535:T535)-U535,0)</f>
        <v>0</v>
      </c>
    </row>
    <row r="536" spans="1:23" ht="13.5" thickBot="1" x14ac:dyDescent="0.25">
      <c r="A536" s="45"/>
      <c r="B536" s="119"/>
      <c r="C536" s="111"/>
      <c r="D536" s="107"/>
      <c r="E536" s="267"/>
      <c r="F536" s="270"/>
      <c r="I536" s="306"/>
      <c r="J536" s="306"/>
      <c r="K536" s="306"/>
      <c r="L536" s="306"/>
      <c r="M536" s="306"/>
      <c r="N536" s="306"/>
      <c r="O536" s="306"/>
      <c r="P536" s="306"/>
      <c r="Q536" s="306"/>
      <c r="R536" s="306"/>
      <c r="S536" s="306"/>
      <c r="T536" s="306"/>
      <c r="U536" s="305"/>
      <c r="W536" s="322"/>
    </row>
    <row r="537" spans="1:23" ht="12.75" customHeight="1" x14ac:dyDescent="0.2">
      <c r="A537" s="1092" t="s">
        <v>530</v>
      </c>
      <c r="B537" s="170"/>
      <c r="C537" s="113"/>
      <c r="D537" s="93"/>
      <c r="E537" s="246"/>
      <c r="F537" s="247"/>
      <c r="H537" s="43" t="s">
        <v>267</v>
      </c>
      <c r="I537" s="302" t="str">
        <f>IF($H537="Monthly",$E537/12,IF($H537="Quarterly (From April)",$E537/4,IF($H537="Termly",$E537/3,IF($H537="Monthly (excl. August)",$E537/11,""))))</f>
        <v/>
      </c>
      <c r="J537" s="302" t="str">
        <f t="shared" ref="J537:K545" si="370">IF($H537="Monthly",$E537/12,IF($H537="Quarterly (From April)",0,IF($H537="Termly",0,IF($H537="Monthly (excl. August)",$E537/11,""))))</f>
        <v/>
      </c>
      <c r="K537" s="302" t="str">
        <f t="shared" si="370"/>
        <v/>
      </c>
      <c r="L537" s="302" t="str">
        <f>IF($H537="Monthly",$E537/12,IF($H537="Quarterly (From April)",$E537/4,IF($H537="Termly",0,IF($H537="Monthly (excl. August)",$E537/11,""))))</f>
        <v/>
      </c>
      <c r="M537" s="302" t="str">
        <f>IF($H537="Monthly",$E537/12,IF($H537="Quarterly (From April)",0,IF($H537="Termly",0,IF($H537="Monthly (excl. August)",0,""))))</f>
        <v/>
      </c>
      <c r="N537" s="302" t="str">
        <f>IF($H537="Monthly",$E537/12,IF($H537="Quarterly (From April)",0,IF($H537="Termly",$E537/3,IF($H537="Monthly (excl. August)",$E537/11,""))))</f>
        <v/>
      </c>
      <c r="O537" s="302" t="str">
        <f>IF($H537="Monthly",$E537/12,IF($H537="Quarterly (From April)",$E537/4,IF($H537="Termly",0,IF($H537="Monthly (excl. August)",$E537/11,""))))</f>
        <v/>
      </c>
      <c r="P537" s="302" t="str">
        <f t="shared" ref="P537:Q545" si="371">IF($H537="Monthly",$E537/12,IF($H537="Quarterly (From April)",0,IF($H537="Termly",0,IF($H537="Monthly (excl. August)",$E537/11,""))))</f>
        <v/>
      </c>
      <c r="Q537" s="302" t="str">
        <f t="shared" si="371"/>
        <v/>
      </c>
      <c r="R537" s="302" t="str">
        <f>IF($H537="Monthly",$E537/12,IF($H537="Quarterly (From April)",$E537/4,IF($H537="Termly",$E537/3,IF($H537="Monthly (excl. August)",$E537/11,""))))</f>
        <v/>
      </c>
      <c r="S537" s="302" t="str">
        <f t="shared" ref="S537:T545" si="372">IF($H537="Monthly",$E537/12,IF($H537="Quarterly (From April)",0,IF($H537="Termly",0,IF($H537="Monthly (excl. August)",$E537/11,""))))</f>
        <v/>
      </c>
      <c r="T537" s="302" t="str">
        <f t="shared" si="372"/>
        <v/>
      </c>
      <c r="U537" s="303">
        <f>E537</f>
        <v>0</v>
      </c>
      <c r="V537" s="214">
        <f>IF(ROUND(SUM(I537:T537),0)&gt;U537,1,IF(ROUND(SUM(I537:T537),0)&lt;U537,1,0))</f>
        <v>0</v>
      </c>
      <c r="W537" s="322">
        <f>ROUND(SUM(I537:T537)-U537,0)</f>
        <v>0</v>
      </c>
    </row>
    <row r="538" spans="1:23" x14ac:dyDescent="0.2">
      <c r="A538" s="1093"/>
      <c r="B538" s="160"/>
      <c r="C538" s="108"/>
      <c r="D538" s="95"/>
      <c r="E538" s="250"/>
      <c r="F538" s="251"/>
      <c r="H538" s="43" t="s">
        <v>267</v>
      </c>
      <c r="I538" s="302" t="str">
        <f>IF($H538="Monthly",$E538/12,IF($H538="Quarterly (From April)",$E538/4,IF($H538="Termly",$E538/3,IF($H538="Monthly (excl. August)",$E538/11,""))))</f>
        <v/>
      </c>
      <c r="J538" s="302" t="str">
        <f t="shared" si="370"/>
        <v/>
      </c>
      <c r="K538" s="302" t="str">
        <f t="shared" si="370"/>
        <v/>
      </c>
      <c r="L538" s="302" t="str">
        <f>IF($H538="Monthly",$E538/12,IF($H538="Quarterly (From April)",$E538/4,IF($H538="Termly",0,IF($H538="Monthly (excl. August)",$E538/11,""))))</f>
        <v/>
      </c>
      <c r="M538" s="302" t="str">
        <f>IF($H538="Monthly",$E538/12,IF($H538="Quarterly (From April)",0,IF($H538="Termly",0,IF($H538="Monthly (excl. August)",0,""))))</f>
        <v/>
      </c>
      <c r="N538" s="302" t="str">
        <f>IF($H538="Monthly",$E538/12,IF($H538="Quarterly (From April)",0,IF($H538="Termly",$E538/3,IF($H538="Monthly (excl. August)",$E538/11,""))))</f>
        <v/>
      </c>
      <c r="O538" s="302" t="str">
        <f>IF($H538="Monthly",$E538/12,IF($H538="Quarterly (From April)",$E538/4,IF($H538="Termly",0,IF($H538="Monthly (excl. August)",$E538/11,""))))</f>
        <v/>
      </c>
      <c r="P538" s="302" t="str">
        <f t="shared" si="371"/>
        <v/>
      </c>
      <c r="Q538" s="302" t="str">
        <f t="shared" si="371"/>
        <v/>
      </c>
      <c r="R538" s="302" t="str">
        <f>IF($H538="Monthly",$E538/12,IF($H538="Quarterly (From April)",$E538/4,IF($H538="Termly",$E538/3,IF($H538="Monthly (excl. August)",$E538/11,""))))</f>
        <v/>
      </c>
      <c r="S538" s="302" t="str">
        <f t="shared" si="372"/>
        <v/>
      </c>
      <c r="T538" s="302" t="str">
        <f t="shared" si="372"/>
        <v/>
      </c>
      <c r="U538" s="303">
        <f>E538</f>
        <v>0</v>
      </c>
      <c r="V538" s="214">
        <f>IF(ROUND(SUM(I538:T538),0)&gt;U538,1,IF(ROUND(SUM(I538:T538),0)&lt;U538,1,0))</f>
        <v>0</v>
      </c>
      <c r="W538" s="322">
        <f>ROUND(SUM(I538:T538)-U538,0)</f>
        <v>0</v>
      </c>
    </row>
    <row r="539" spans="1:23" x14ac:dyDescent="0.2">
      <c r="A539" s="1093"/>
      <c r="B539" s="160"/>
      <c r="C539" s="108"/>
      <c r="D539" s="95"/>
      <c r="E539" s="250"/>
      <c r="F539" s="251"/>
      <c r="H539" s="43" t="s">
        <v>267</v>
      </c>
      <c r="I539" s="302" t="str">
        <f>IF($H539="Monthly",$E539/12,IF($H539="Quarterly (From April)",$E539/4,IF($H539="Termly",$E539/3,IF($H539="Monthly (excl. August)",$E539/11,""))))</f>
        <v/>
      </c>
      <c r="J539" s="302" t="str">
        <f t="shared" si="370"/>
        <v/>
      </c>
      <c r="K539" s="302" t="str">
        <f t="shared" si="370"/>
        <v/>
      </c>
      <c r="L539" s="302" t="str">
        <f>IF($H539="Monthly",$E539/12,IF($H539="Quarterly (From April)",$E539/4,IF($H539="Termly",0,IF($H539="Monthly (excl. August)",$E539/11,""))))</f>
        <v/>
      </c>
      <c r="M539" s="302" t="str">
        <f>IF($H539="Monthly",$E539/12,IF($H539="Quarterly (From April)",0,IF($H539="Termly",0,IF($H539="Monthly (excl. August)",0,""))))</f>
        <v/>
      </c>
      <c r="N539" s="302" t="str">
        <f>IF($H539="Monthly",$E539/12,IF($H539="Quarterly (From April)",0,IF($H539="Termly",$E539/3,IF($H539="Monthly (excl. August)",$E539/11,""))))</f>
        <v/>
      </c>
      <c r="O539" s="302" t="str">
        <f>IF($H539="Monthly",$E539/12,IF($H539="Quarterly (From April)",$E539/4,IF($H539="Termly",0,IF($H539="Monthly (excl. August)",$E539/11,""))))</f>
        <v/>
      </c>
      <c r="P539" s="302" t="str">
        <f t="shared" si="371"/>
        <v/>
      </c>
      <c r="Q539" s="302" t="str">
        <f t="shared" si="371"/>
        <v/>
      </c>
      <c r="R539" s="302" t="str">
        <f>IF($H539="Monthly",$E539/12,IF($H539="Quarterly (From April)",$E539/4,IF($H539="Termly",$E539/3,IF($H539="Monthly (excl. August)",$E539/11,""))))</f>
        <v/>
      </c>
      <c r="S539" s="302" t="str">
        <f t="shared" si="372"/>
        <v/>
      </c>
      <c r="T539" s="302" t="str">
        <f t="shared" si="372"/>
        <v/>
      </c>
      <c r="U539" s="303">
        <f>E539</f>
        <v>0</v>
      </c>
      <c r="V539" s="214">
        <f>IF(ROUND(SUM(I539:T539),0)&gt;U539,1,IF(ROUND(SUM(I539:T539),0)&lt;U539,1,0))</f>
        <v>0</v>
      </c>
      <c r="W539" s="322">
        <f>ROUND(SUM(I539:T539)-U539,0)</f>
        <v>0</v>
      </c>
    </row>
    <row r="540" spans="1:23" ht="13.5" thickBot="1" x14ac:dyDescent="0.25">
      <c r="A540" s="1094"/>
      <c r="B540" s="161"/>
      <c r="C540" s="109"/>
      <c r="D540" s="100"/>
      <c r="E540" s="256"/>
      <c r="F540" s="257">
        <f>SUM(E537:E540)</f>
        <v>0</v>
      </c>
      <c r="H540" s="43" t="s">
        <v>267</v>
      </c>
      <c r="I540" s="302" t="str">
        <f>IF($H540="Monthly",$E540/12,IF($H540="Quarterly (From April)",$E540/4,IF($H540="Termly",$E540/3,IF($H540="Monthly (excl. August)",$E540/11,""))))</f>
        <v/>
      </c>
      <c r="J540" s="302" t="str">
        <f t="shared" si="370"/>
        <v/>
      </c>
      <c r="K540" s="302" t="str">
        <f t="shared" si="370"/>
        <v/>
      </c>
      <c r="L540" s="302" t="str">
        <f>IF($H540="Monthly",$E540/12,IF($H540="Quarterly (From April)",$E540/4,IF($H540="Termly",0,IF($H540="Monthly (excl. August)",$E540/11,""))))</f>
        <v/>
      </c>
      <c r="M540" s="302" t="str">
        <f>IF($H540="Monthly",$E540/12,IF($H540="Quarterly (From April)",0,IF($H540="Termly",0,IF($H540="Monthly (excl. August)",0,""))))</f>
        <v/>
      </c>
      <c r="N540" s="302" t="str">
        <f>IF($H540="Monthly",$E540/12,IF($H540="Quarterly (From April)",0,IF($H540="Termly",$E540/3,IF($H540="Monthly (excl. August)",$E540/11,""))))</f>
        <v/>
      </c>
      <c r="O540" s="302" t="str">
        <f>IF($H540="Monthly",$E540/12,IF($H540="Quarterly (From April)",$E540/4,IF($H540="Termly",0,IF($H540="Monthly (excl. August)",$E540/11,""))))</f>
        <v/>
      </c>
      <c r="P540" s="302" t="str">
        <f t="shared" si="371"/>
        <v/>
      </c>
      <c r="Q540" s="302" t="str">
        <f t="shared" si="371"/>
        <v/>
      </c>
      <c r="R540" s="302" t="str">
        <f>IF($H540="Monthly",$E540/12,IF($H540="Quarterly (From April)",$E540/4,IF($H540="Termly",$E540/3,IF($H540="Monthly (excl. August)",$E540/11,""))))</f>
        <v/>
      </c>
      <c r="S540" s="302" t="str">
        <f t="shared" si="372"/>
        <v/>
      </c>
      <c r="T540" s="302" t="str">
        <f t="shared" si="372"/>
        <v/>
      </c>
      <c r="U540" s="303">
        <f>E540</f>
        <v>0</v>
      </c>
      <c r="V540" s="214">
        <f>IF(ROUND(SUM(I540:T540),0)&gt;U540,1,IF(ROUND(SUM(I540:T540),0)&lt;U540,1,0))</f>
        <v>0</v>
      </c>
      <c r="W540" s="322">
        <f>ROUND(SUM(I540:T540)-U540,0)</f>
        <v>0</v>
      </c>
    </row>
    <row r="541" spans="1:23" ht="13.5" thickBot="1" x14ac:dyDescent="0.25">
      <c r="A541" s="45"/>
      <c r="B541" s="119"/>
      <c r="C541" s="111"/>
      <c r="D541" s="107"/>
      <c r="E541" s="267"/>
      <c r="F541" s="270"/>
      <c r="I541" s="306"/>
      <c r="J541" s="306"/>
      <c r="K541" s="306"/>
      <c r="L541" s="306"/>
      <c r="M541" s="306"/>
      <c r="N541" s="306"/>
      <c r="O541" s="306"/>
      <c r="P541" s="306"/>
      <c r="Q541" s="306"/>
      <c r="R541" s="306"/>
      <c r="S541" s="306"/>
      <c r="T541" s="306"/>
      <c r="U541" s="305"/>
      <c r="W541" s="322"/>
    </row>
    <row r="542" spans="1:23" ht="12.75" customHeight="1" x14ac:dyDescent="0.2">
      <c r="A542" s="1092" t="s">
        <v>530</v>
      </c>
      <c r="B542" s="170"/>
      <c r="C542" s="113"/>
      <c r="D542" s="93"/>
      <c r="E542" s="246"/>
      <c r="F542" s="247"/>
      <c r="H542" s="43" t="s">
        <v>267</v>
      </c>
      <c r="I542" s="302" t="str">
        <f>IF($H542="Monthly",$E542/12,IF($H542="Quarterly (From April)",$E542/4,IF($H542="Termly",$E542/3,IF($H542="Monthly (excl. August)",$E542/11,""))))</f>
        <v/>
      </c>
      <c r="J542" s="302" t="str">
        <f t="shared" si="370"/>
        <v/>
      </c>
      <c r="K542" s="302" t="str">
        <f t="shared" si="370"/>
        <v/>
      </c>
      <c r="L542" s="302" t="str">
        <f>IF($H542="Monthly",$E542/12,IF($H542="Quarterly (From April)",$E542/4,IF($H542="Termly",0,IF($H542="Monthly (excl. August)",$E542/11,""))))</f>
        <v/>
      </c>
      <c r="M542" s="302" t="str">
        <f>IF($H542="Monthly",$E542/12,IF($H542="Quarterly (From April)",0,IF($H542="Termly",0,IF($H542="Monthly (excl. August)",0,""))))</f>
        <v/>
      </c>
      <c r="N542" s="302" t="str">
        <f>IF($H542="Monthly",$E542/12,IF($H542="Quarterly (From April)",0,IF($H542="Termly",$E542/3,IF($H542="Monthly (excl. August)",$E542/11,""))))</f>
        <v/>
      </c>
      <c r="O542" s="302" t="str">
        <f>IF($H542="Monthly",$E542/12,IF($H542="Quarterly (From April)",$E542/4,IF($H542="Termly",0,IF($H542="Monthly (excl. August)",$E542/11,""))))</f>
        <v/>
      </c>
      <c r="P542" s="302" t="str">
        <f t="shared" si="371"/>
        <v/>
      </c>
      <c r="Q542" s="302" t="str">
        <f t="shared" si="371"/>
        <v/>
      </c>
      <c r="R542" s="302" t="str">
        <f>IF($H542="Monthly",$E542/12,IF($H542="Quarterly (From April)",$E542/4,IF($H542="Termly",$E542/3,IF($H542="Monthly (excl. August)",$E542/11,""))))</f>
        <v/>
      </c>
      <c r="S542" s="302" t="str">
        <f t="shared" si="372"/>
        <v/>
      </c>
      <c r="T542" s="302" t="str">
        <f t="shared" si="372"/>
        <v/>
      </c>
      <c r="U542" s="303">
        <f>E542</f>
        <v>0</v>
      </c>
      <c r="V542" s="214">
        <f>IF(ROUND(SUM(I542:T542),0)&gt;U542,1,IF(ROUND(SUM(I542:T542),0)&lt;U542,1,0))</f>
        <v>0</v>
      </c>
      <c r="W542" s="322">
        <f>ROUND(SUM(I542:T542)-U542,0)</f>
        <v>0</v>
      </c>
    </row>
    <row r="543" spans="1:23" x14ac:dyDescent="0.2">
      <c r="A543" s="1093"/>
      <c r="B543" s="160"/>
      <c r="C543" s="108"/>
      <c r="D543" s="95"/>
      <c r="E543" s="250"/>
      <c r="F543" s="251"/>
      <c r="H543" s="43" t="s">
        <v>267</v>
      </c>
      <c r="I543" s="302" t="str">
        <f>IF($H543="Monthly",$E543/12,IF($H543="Quarterly (From April)",$E543/4,IF($H543="Termly",$E543/3,IF($H543="Monthly (excl. August)",$E543/11,""))))</f>
        <v/>
      </c>
      <c r="J543" s="302" t="str">
        <f t="shared" si="370"/>
        <v/>
      </c>
      <c r="K543" s="302" t="str">
        <f t="shared" si="370"/>
        <v/>
      </c>
      <c r="L543" s="302" t="str">
        <f>IF($H543="Monthly",$E543/12,IF($H543="Quarterly (From April)",$E543/4,IF($H543="Termly",0,IF($H543="Monthly (excl. August)",$E543/11,""))))</f>
        <v/>
      </c>
      <c r="M543" s="302" t="str">
        <f>IF($H543="Monthly",$E543/12,IF($H543="Quarterly (From April)",0,IF($H543="Termly",0,IF($H543="Monthly (excl. August)",0,""))))</f>
        <v/>
      </c>
      <c r="N543" s="302" t="str">
        <f>IF($H543="Monthly",$E543/12,IF($H543="Quarterly (From April)",0,IF($H543="Termly",$E543/3,IF($H543="Monthly (excl. August)",$E543/11,""))))</f>
        <v/>
      </c>
      <c r="O543" s="302" t="str">
        <f>IF($H543="Monthly",$E543/12,IF($H543="Quarterly (From April)",$E543/4,IF($H543="Termly",0,IF($H543="Monthly (excl. August)",$E543/11,""))))</f>
        <v/>
      </c>
      <c r="P543" s="302" t="str">
        <f t="shared" si="371"/>
        <v/>
      </c>
      <c r="Q543" s="302" t="str">
        <f t="shared" si="371"/>
        <v/>
      </c>
      <c r="R543" s="302" t="str">
        <f>IF($H543="Monthly",$E543/12,IF($H543="Quarterly (From April)",$E543/4,IF($H543="Termly",$E543/3,IF($H543="Monthly (excl. August)",$E543/11,""))))</f>
        <v/>
      </c>
      <c r="S543" s="302" t="str">
        <f t="shared" si="372"/>
        <v/>
      </c>
      <c r="T543" s="302" t="str">
        <f t="shared" si="372"/>
        <v/>
      </c>
      <c r="U543" s="303">
        <f>E543</f>
        <v>0</v>
      </c>
      <c r="V543" s="214">
        <f>IF(ROUND(SUM(I543:T543),0)&gt;U543,1,IF(ROUND(SUM(I543:T543),0)&lt;U543,1,0))</f>
        <v>0</v>
      </c>
      <c r="W543" s="322">
        <f>ROUND(SUM(I543:T543)-U543,0)</f>
        <v>0</v>
      </c>
    </row>
    <row r="544" spans="1:23" x14ac:dyDescent="0.2">
      <c r="A544" s="1093"/>
      <c r="B544" s="160"/>
      <c r="C544" s="108"/>
      <c r="D544" s="95"/>
      <c r="E544" s="250"/>
      <c r="F544" s="251"/>
      <c r="H544" s="43" t="s">
        <v>267</v>
      </c>
      <c r="I544" s="302" t="str">
        <f>IF($H544="Monthly",$E544/12,IF($H544="Quarterly (From April)",$E544/4,IF($H544="Termly",$E544/3,IF($H544="Monthly (excl. August)",$E544/11,""))))</f>
        <v/>
      </c>
      <c r="J544" s="302" t="str">
        <f t="shared" si="370"/>
        <v/>
      </c>
      <c r="K544" s="302" t="str">
        <f t="shared" si="370"/>
        <v/>
      </c>
      <c r="L544" s="302" t="str">
        <f>IF($H544="Monthly",$E544/12,IF($H544="Quarterly (From April)",$E544/4,IF($H544="Termly",0,IF($H544="Monthly (excl. August)",$E544/11,""))))</f>
        <v/>
      </c>
      <c r="M544" s="302" t="str">
        <f>IF($H544="Monthly",$E544/12,IF($H544="Quarterly (From April)",0,IF($H544="Termly",0,IF($H544="Monthly (excl. August)",0,""))))</f>
        <v/>
      </c>
      <c r="N544" s="302" t="str">
        <f>IF($H544="Monthly",$E544/12,IF($H544="Quarterly (From April)",0,IF($H544="Termly",$E544/3,IF($H544="Monthly (excl. August)",$E544/11,""))))</f>
        <v/>
      </c>
      <c r="O544" s="302" t="str">
        <f>IF($H544="Monthly",$E544/12,IF($H544="Quarterly (From April)",$E544/4,IF($H544="Termly",0,IF($H544="Monthly (excl. August)",$E544/11,""))))</f>
        <v/>
      </c>
      <c r="P544" s="302" t="str">
        <f t="shared" si="371"/>
        <v/>
      </c>
      <c r="Q544" s="302" t="str">
        <f t="shared" si="371"/>
        <v/>
      </c>
      <c r="R544" s="302" t="str">
        <f>IF($H544="Monthly",$E544/12,IF($H544="Quarterly (From April)",$E544/4,IF($H544="Termly",$E544/3,IF($H544="Monthly (excl. August)",$E544/11,""))))</f>
        <v/>
      </c>
      <c r="S544" s="302" t="str">
        <f t="shared" si="372"/>
        <v/>
      </c>
      <c r="T544" s="302" t="str">
        <f t="shared" si="372"/>
        <v/>
      </c>
      <c r="U544" s="303">
        <f>E544</f>
        <v>0</v>
      </c>
      <c r="V544" s="214">
        <f>IF(ROUND(SUM(I544:T544),0)&gt;U544,1,IF(ROUND(SUM(I544:T544),0)&lt;U544,1,0))</f>
        <v>0</v>
      </c>
      <c r="W544" s="322">
        <f>ROUND(SUM(I544:T544)-U544,0)</f>
        <v>0</v>
      </c>
    </row>
    <row r="545" spans="1:23" ht="13.5" thickBot="1" x14ac:dyDescent="0.25">
      <c r="A545" s="1094"/>
      <c r="B545" s="161"/>
      <c r="C545" s="109"/>
      <c r="D545" s="100"/>
      <c r="E545" s="256"/>
      <c r="F545" s="257">
        <f>SUM(E542:E545)</f>
        <v>0</v>
      </c>
      <c r="H545" s="43" t="s">
        <v>267</v>
      </c>
      <c r="I545" s="302" t="str">
        <f>IF($H545="Monthly",$E545/12,IF($H545="Quarterly (From April)",$E545/4,IF($H545="Termly",$E545/3,IF($H545="Monthly (excl. August)",$E545/11,""))))</f>
        <v/>
      </c>
      <c r="J545" s="302" t="str">
        <f t="shared" si="370"/>
        <v/>
      </c>
      <c r="K545" s="302" t="str">
        <f t="shared" si="370"/>
        <v/>
      </c>
      <c r="L545" s="302" t="str">
        <f>IF($H545="Monthly",$E545/12,IF($H545="Quarterly (From April)",$E545/4,IF($H545="Termly",0,IF($H545="Monthly (excl. August)",$E545/11,""))))</f>
        <v/>
      </c>
      <c r="M545" s="302" t="str">
        <f>IF($H545="Monthly",$E545/12,IF($H545="Quarterly (From April)",0,IF($H545="Termly",0,IF($H545="Monthly (excl. August)",0,""))))</f>
        <v/>
      </c>
      <c r="N545" s="302" t="str">
        <f>IF($H545="Monthly",$E545/12,IF($H545="Quarterly (From April)",0,IF($H545="Termly",$E545/3,IF($H545="Monthly (excl. August)",$E545/11,""))))</f>
        <v/>
      </c>
      <c r="O545" s="302" t="str">
        <f>IF($H545="Monthly",$E545/12,IF($H545="Quarterly (From April)",$E545/4,IF($H545="Termly",0,IF($H545="Monthly (excl. August)",$E545/11,""))))</f>
        <v/>
      </c>
      <c r="P545" s="302" t="str">
        <f t="shared" si="371"/>
        <v/>
      </c>
      <c r="Q545" s="302" t="str">
        <f t="shared" si="371"/>
        <v/>
      </c>
      <c r="R545" s="302" t="str">
        <f>IF($H545="Monthly",$E545/12,IF($H545="Quarterly (From April)",$E545/4,IF($H545="Termly",$E545/3,IF($H545="Monthly (excl. August)",$E545/11,""))))</f>
        <v/>
      </c>
      <c r="S545" s="302" t="str">
        <f t="shared" si="372"/>
        <v/>
      </c>
      <c r="T545" s="302" t="str">
        <f t="shared" si="372"/>
        <v/>
      </c>
      <c r="U545" s="303">
        <f>E545</f>
        <v>0</v>
      </c>
      <c r="V545" s="214">
        <f>IF(ROUND(SUM(I545:T545),0)&gt;U545,1,IF(ROUND(SUM(I545:T545),0)&lt;U545,1,0))</f>
        <v>0</v>
      </c>
      <c r="W545" s="322">
        <f>ROUND(SUM(I545:T545)-U545,0)</f>
        <v>0</v>
      </c>
    </row>
    <row r="546" spans="1:23" ht="13.5" thickBot="1" x14ac:dyDescent="0.25">
      <c r="A546" s="45"/>
      <c r="B546" s="119"/>
      <c r="C546" s="111"/>
      <c r="D546" s="107"/>
      <c r="E546" s="267"/>
      <c r="F546" s="270"/>
      <c r="I546" s="306"/>
      <c r="J546" s="306"/>
      <c r="K546" s="306"/>
      <c r="L546" s="306"/>
      <c r="M546" s="306"/>
      <c r="N546" s="306"/>
      <c r="O546" s="306"/>
      <c r="P546" s="306"/>
      <c r="Q546" s="306"/>
      <c r="R546" s="306"/>
      <c r="S546" s="306"/>
      <c r="T546" s="306"/>
      <c r="U546" s="305"/>
      <c r="W546" s="322"/>
    </row>
    <row r="547" spans="1:23" ht="12.75" customHeight="1" x14ac:dyDescent="0.2">
      <c r="A547" s="1092" t="s">
        <v>530</v>
      </c>
      <c r="B547" s="170"/>
      <c r="C547" s="113"/>
      <c r="D547" s="93"/>
      <c r="E547" s="246"/>
      <c r="F547" s="247"/>
      <c r="H547" s="43" t="s">
        <v>267</v>
      </c>
      <c r="I547" s="302" t="str">
        <f>IF($H547="Monthly",$E547/12,IF($H547="Quarterly (From April)",$E547/4,IF($H547="Termly",$E547/3,IF($H547="Monthly (excl. August)",$E547/11,""))))</f>
        <v/>
      </c>
      <c r="J547" s="302" t="str">
        <f t="shared" ref="J547:K550" si="373">IF($H547="Monthly",$E547/12,IF($H547="Quarterly (From April)",0,IF($H547="Termly",0,IF($H547="Monthly (excl. August)",$E547/11,""))))</f>
        <v/>
      </c>
      <c r="K547" s="302" t="str">
        <f t="shared" si="373"/>
        <v/>
      </c>
      <c r="L547" s="302" t="str">
        <f>IF($H547="Monthly",$E547/12,IF($H547="Quarterly (From April)",$E547/4,IF($H547="Termly",0,IF($H547="Monthly (excl. August)",$E547/11,""))))</f>
        <v/>
      </c>
      <c r="M547" s="302" t="str">
        <f>IF($H547="Monthly",$E547/12,IF($H547="Quarterly (From April)",0,IF($H547="Termly",0,IF($H547="Monthly (excl. August)",0,""))))</f>
        <v/>
      </c>
      <c r="N547" s="302" t="str">
        <f>IF($H547="Monthly",$E547/12,IF($H547="Quarterly (From April)",0,IF($H547="Termly",$E547/3,IF($H547="Monthly (excl. August)",$E547/11,""))))</f>
        <v/>
      </c>
      <c r="O547" s="302" t="str">
        <f>IF($H547="Monthly",$E547/12,IF($H547="Quarterly (From April)",$E547/4,IF($H547="Termly",0,IF($H547="Monthly (excl. August)",$E547/11,""))))</f>
        <v/>
      </c>
      <c r="P547" s="302" t="str">
        <f t="shared" ref="P547:Q550" si="374">IF($H547="Monthly",$E547/12,IF($H547="Quarterly (From April)",0,IF($H547="Termly",0,IF($H547="Monthly (excl. August)",$E547/11,""))))</f>
        <v/>
      </c>
      <c r="Q547" s="302" t="str">
        <f t="shared" si="374"/>
        <v/>
      </c>
      <c r="R547" s="302" t="str">
        <f>IF($H547="Monthly",$E547/12,IF($H547="Quarterly (From April)",$E547/4,IF($H547="Termly",$E547/3,IF($H547="Monthly (excl. August)",$E547/11,""))))</f>
        <v/>
      </c>
      <c r="S547" s="302" t="str">
        <f t="shared" ref="S547:T550" si="375">IF($H547="Monthly",$E547/12,IF($H547="Quarterly (From April)",0,IF($H547="Termly",0,IF($H547="Monthly (excl. August)",$E547/11,""))))</f>
        <v/>
      </c>
      <c r="T547" s="302" t="str">
        <f t="shared" si="375"/>
        <v/>
      </c>
      <c r="U547" s="303">
        <f>E547</f>
        <v>0</v>
      </c>
      <c r="V547" s="214">
        <f>IF(ROUND(SUM(I547:T547),0)&gt;U547,1,IF(ROUND(SUM(I547:T547),0)&lt;U547,1,0))</f>
        <v>0</v>
      </c>
      <c r="W547" s="322">
        <f>ROUND(SUM(I547:T547)-U547,0)</f>
        <v>0</v>
      </c>
    </row>
    <row r="548" spans="1:23" x14ac:dyDescent="0.2">
      <c r="A548" s="1093"/>
      <c r="B548" s="160"/>
      <c r="C548" s="108"/>
      <c r="D548" s="95"/>
      <c r="E548" s="250"/>
      <c r="F548" s="251"/>
      <c r="H548" s="43" t="s">
        <v>267</v>
      </c>
      <c r="I548" s="302" t="str">
        <f>IF($H548="Monthly",$E548/12,IF($H548="Quarterly (From April)",$E548/4,IF($H548="Termly",$E548/3,IF($H548="Monthly (excl. August)",$E548/11,""))))</f>
        <v/>
      </c>
      <c r="J548" s="302" t="str">
        <f t="shared" si="373"/>
        <v/>
      </c>
      <c r="K548" s="302" t="str">
        <f t="shared" si="373"/>
        <v/>
      </c>
      <c r="L548" s="302" t="str">
        <f>IF($H548="Monthly",$E548/12,IF($H548="Quarterly (From April)",$E548/4,IF($H548="Termly",0,IF($H548="Monthly (excl. August)",$E548/11,""))))</f>
        <v/>
      </c>
      <c r="M548" s="302" t="str">
        <f>IF($H548="Monthly",$E548/12,IF($H548="Quarterly (From April)",0,IF($H548="Termly",0,IF($H548="Monthly (excl. August)",0,""))))</f>
        <v/>
      </c>
      <c r="N548" s="302" t="str">
        <f>IF($H548="Monthly",$E548/12,IF($H548="Quarterly (From April)",0,IF($H548="Termly",$E548/3,IF($H548="Monthly (excl. August)",$E548/11,""))))</f>
        <v/>
      </c>
      <c r="O548" s="302" t="str">
        <f>IF($H548="Monthly",$E548/12,IF($H548="Quarterly (From April)",$E548/4,IF($H548="Termly",0,IF($H548="Monthly (excl. August)",$E548/11,""))))</f>
        <v/>
      </c>
      <c r="P548" s="302" t="str">
        <f t="shared" si="374"/>
        <v/>
      </c>
      <c r="Q548" s="302" t="str">
        <f t="shared" si="374"/>
        <v/>
      </c>
      <c r="R548" s="302" t="str">
        <f>IF($H548="Monthly",$E548/12,IF($H548="Quarterly (From April)",$E548/4,IF($H548="Termly",$E548/3,IF($H548="Monthly (excl. August)",$E548/11,""))))</f>
        <v/>
      </c>
      <c r="S548" s="302" t="str">
        <f t="shared" si="375"/>
        <v/>
      </c>
      <c r="T548" s="302" t="str">
        <f t="shared" si="375"/>
        <v/>
      </c>
      <c r="U548" s="303">
        <f>E548</f>
        <v>0</v>
      </c>
      <c r="V548" s="214">
        <f>IF(ROUND(SUM(I548:T548),0)&gt;U548,1,IF(ROUND(SUM(I548:T548),0)&lt;U548,1,0))</f>
        <v>0</v>
      </c>
      <c r="W548" s="322">
        <f>ROUND(SUM(I548:T548)-U548,0)</f>
        <v>0</v>
      </c>
    </row>
    <row r="549" spans="1:23" x14ac:dyDescent="0.2">
      <c r="A549" s="1093"/>
      <c r="B549" s="160"/>
      <c r="C549" s="108"/>
      <c r="D549" s="95"/>
      <c r="E549" s="250"/>
      <c r="F549" s="251"/>
      <c r="H549" s="43" t="s">
        <v>267</v>
      </c>
      <c r="I549" s="302" t="str">
        <f>IF($H549="Monthly",$E549/12,IF($H549="Quarterly (From April)",$E549/4,IF($H549="Termly",$E549/3,IF($H549="Monthly (excl. August)",$E549/11,""))))</f>
        <v/>
      </c>
      <c r="J549" s="302" t="str">
        <f t="shared" si="373"/>
        <v/>
      </c>
      <c r="K549" s="302" t="str">
        <f t="shared" si="373"/>
        <v/>
      </c>
      <c r="L549" s="302" t="str">
        <f>IF($H549="Monthly",$E549/12,IF($H549="Quarterly (From April)",$E549/4,IF($H549="Termly",0,IF($H549="Monthly (excl. August)",$E549/11,""))))</f>
        <v/>
      </c>
      <c r="M549" s="302" t="str">
        <f>IF($H549="Monthly",$E549/12,IF($H549="Quarterly (From April)",0,IF($H549="Termly",0,IF($H549="Monthly (excl. August)",0,""))))</f>
        <v/>
      </c>
      <c r="N549" s="302" t="str">
        <f>IF($H549="Monthly",$E549/12,IF($H549="Quarterly (From April)",0,IF($H549="Termly",$E549/3,IF($H549="Monthly (excl. August)",$E549/11,""))))</f>
        <v/>
      </c>
      <c r="O549" s="302" t="str">
        <f>IF($H549="Monthly",$E549/12,IF($H549="Quarterly (From April)",$E549/4,IF($H549="Termly",0,IF($H549="Monthly (excl. August)",$E549/11,""))))</f>
        <v/>
      </c>
      <c r="P549" s="302" t="str">
        <f t="shared" si="374"/>
        <v/>
      </c>
      <c r="Q549" s="302" t="str">
        <f t="shared" si="374"/>
        <v/>
      </c>
      <c r="R549" s="302" t="str">
        <f>IF($H549="Monthly",$E549/12,IF($H549="Quarterly (From April)",$E549/4,IF($H549="Termly",$E549/3,IF($H549="Monthly (excl. August)",$E549/11,""))))</f>
        <v/>
      </c>
      <c r="S549" s="302" t="str">
        <f t="shared" si="375"/>
        <v/>
      </c>
      <c r="T549" s="302" t="str">
        <f t="shared" si="375"/>
        <v/>
      </c>
      <c r="U549" s="303">
        <f>E549</f>
        <v>0</v>
      </c>
      <c r="V549" s="214">
        <f>IF(ROUND(SUM(I549:T549),0)&gt;U549,1,IF(ROUND(SUM(I549:T549),0)&lt;U549,1,0))</f>
        <v>0</v>
      </c>
      <c r="W549" s="322">
        <f>ROUND(SUM(I549:T549)-U549,0)</f>
        <v>0</v>
      </c>
    </row>
    <row r="550" spans="1:23" ht="13.5" thickBot="1" x14ac:dyDescent="0.25">
      <c r="A550" s="1094"/>
      <c r="B550" s="161"/>
      <c r="C550" s="109"/>
      <c r="D550" s="100"/>
      <c r="E550" s="256"/>
      <c r="F550" s="257">
        <f>SUM(E547:E550)</f>
        <v>0</v>
      </c>
      <c r="H550" s="43" t="s">
        <v>267</v>
      </c>
      <c r="I550" s="302" t="str">
        <f>IF($H550="Monthly",$E550/12,IF($H550="Quarterly (From April)",$E550/4,IF($H550="Termly",$E550/3,IF($H550="Monthly (excl. August)",$E550/11,""))))</f>
        <v/>
      </c>
      <c r="J550" s="302" t="str">
        <f t="shared" si="373"/>
        <v/>
      </c>
      <c r="K550" s="302" t="str">
        <f t="shared" si="373"/>
        <v/>
      </c>
      <c r="L550" s="302" t="str">
        <f>IF($H550="Monthly",$E550/12,IF($H550="Quarterly (From April)",$E550/4,IF($H550="Termly",0,IF($H550="Monthly (excl. August)",$E550/11,""))))</f>
        <v/>
      </c>
      <c r="M550" s="302" t="str">
        <f>IF($H550="Monthly",$E550/12,IF($H550="Quarterly (From April)",0,IF($H550="Termly",0,IF($H550="Monthly (excl. August)",0,""))))</f>
        <v/>
      </c>
      <c r="N550" s="302" t="str">
        <f>IF($H550="Monthly",$E550/12,IF($H550="Quarterly (From April)",0,IF($H550="Termly",$E550/3,IF($H550="Monthly (excl. August)",$E550/11,""))))</f>
        <v/>
      </c>
      <c r="O550" s="302" t="str">
        <f>IF($H550="Monthly",$E550/12,IF($H550="Quarterly (From April)",$E550/4,IF($H550="Termly",0,IF($H550="Monthly (excl. August)",$E550/11,""))))</f>
        <v/>
      </c>
      <c r="P550" s="302" t="str">
        <f t="shared" si="374"/>
        <v/>
      </c>
      <c r="Q550" s="302" t="str">
        <f t="shared" si="374"/>
        <v/>
      </c>
      <c r="R550" s="302" t="str">
        <f>IF($H550="Monthly",$E550/12,IF($H550="Quarterly (From April)",$E550/4,IF($H550="Termly",$E550/3,IF($H550="Monthly (excl. August)",$E550/11,""))))</f>
        <v/>
      </c>
      <c r="S550" s="302" t="str">
        <f t="shared" si="375"/>
        <v/>
      </c>
      <c r="T550" s="302" t="str">
        <f t="shared" si="375"/>
        <v/>
      </c>
      <c r="U550" s="303">
        <f>E550</f>
        <v>0</v>
      </c>
      <c r="V550" s="214">
        <f>IF(ROUND(SUM(I550:T550),0)&gt;U550,1,IF(ROUND(SUM(I550:T550),0)&lt;U550,1,0))</f>
        <v>0</v>
      </c>
      <c r="W550" s="322">
        <f>ROUND(SUM(I550:T550)-U550,0)</f>
        <v>0</v>
      </c>
    </row>
    <row r="551" spans="1:23" ht="13.5" thickBot="1" x14ac:dyDescent="0.25">
      <c r="A551" s="45"/>
      <c r="B551" s="119"/>
      <c r="C551" s="111"/>
      <c r="D551" s="107"/>
      <c r="E551" s="267"/>
      <c r="F551" s="270"/>
      <c r="I551" s="306"/>
      <c r="J551" s="306"/>
      <c r="K551" s="306"/>
      <c r="L551" s="306"/>
      <c r="M551" s="306"/>
      <c r="N551" s="306"/>
      <c r="O551" s="306"/>
      <c r="P551" s="306"/>
      <c r="Q551" s="306"/>
      <c r="R551" s="306"/>
      <c r="S551" s="306"/>
      <c r="T551" s="306"/>
      <c r="U551" s="305"/>
      <c r="W551" s="322"/>
    </row>
    <row r="552" spans="1:23" ht="12.75" customHeight="1" x14ac:dyDescent="0.2">
      <c r="A552" s="1092" t="s">
        <v>530</v>
      </c>
      <c r="B552" s="170"/>
      <c r="C552" s="113"/>
      <c r="D552" s="93"/>
      <c r="E552" s="246"/>
      <c r="F552" s="247"/>
      <c r="H552" s="43" t="s">
        <v>267</v>
      </c>
      <c r="I552" s="302" t="str">
        <f>IF($H552="Monthly",$E552/12,IF($H552="Quarterly (From April)",$E552/4,IF($H552="Termly",$E552/3,IF($H552="Monthly (excl. August)",$E552/11,""))))</f>
        <v/>
      </c>
      <c r="J552" s="302" t="str">
        <f t="shared" ref="J552:K555" si="376">IF($H552="Monthly",$E552/12,IF($H552="Quarterly (From April)",0,IF($H552="Termly",0,IF($H552="Monthly (excl. August)",$E552/11,""))))</f>
        <v/>
      </c>
      <c r="K552" s="302" t="str">
        <f t="shared" si="376"/>
        <v/>
      </c>
      <c r="L552" s="302" t="str">
        <f>IF($H552="Monthly",$E552/12,IF($H552="Quarterly (From April)",$E552/4,IF($H552="Termly",0,IF($H552="Monthly (excl. August)",$E552/11,""))))</f>
        <v/>
      </c>
      <c r="M552" s="302" t="str">
        <f>IF($H552="Monthly",$E552/12,IF($H552="Quarterly (From April)",0,IF($H552="Termly",0,IF($H552="Monthly (excl. August)",0,""))))</f>
        <v/>
      </c>
      <c r="N552" s="302" t="str">
        <f>IF($H552="Monthly",$E552/12,IF($H552="Quarterly (From April)",0,IF($H552="Termly",$E552/3,IF($H552="Monthly (excl. August)",$E552/11,""))))</f>
        <v/>
      </c>
      <c r="O552" s="302" t="str">
        <f>IF($H552="Monthly",$E552/12,IF($H552="Quarterly (From April)",$E552/4,IF($H552="Termly",0,IF($H552="Monthly (excl. August)",$E552/11,""))))</f>
        <v/>
      </c>
      <c r="P552" s="302" t="str">
        <f t="shared" ref="P552:Q555" si="377">IF($H552="Monthly",$E552/12,IF($H552="Quarterly (From April)",0,IF($H552="Termly",0,IF($H552="Monthly (excl. August)",$E552/11,""))))</f>
        <v/>
      </c>
      <c r="Q552" s="302" t="str">
        <f t="shared" si="377"/>
        <v/>
      </c>
      <c r="R552" s="302" t="str">
        <f>IF($H552="Monthly",$E552/12,IF($H552="Quarterly (From April)",$E552/4,IF($H552="Termly",$E552/3,IF($H552="Monthly (excl. August)",$E552/11,""))))</f>
        <v/>
      </c>
      <c r="S552" s="302" t="str">
        <f t="shared" ref="S552:T555" si="378">IF($H552="Monthly",$E552/12,IF($H552="Quarterly (From April)",0,IF($H552="Termly",0,IF($H552="Monthly (excl. August)",$E552/11,""))))</f>
        <v/>
      </c>
      <c r="T552" s="302" t="str">
        <f t="shared" si="378"/>
        <v/>
      </c>
      <c r="U552" s="303">
        <f>E552</f>
        <v>0</v>
      </c>
      <c r="V552" s="214">
        <f>IF(ROUND(SUM(I552:T552),0)&gt;U552,1,IF(ROUND(SUM(I552:T552),0)&lt;U552,1,0))</f>
        <v>0</v>
      </c>
      <c r="W552" s="322">
        <f>ROUND(SUM(I552:T552)-U552,0)</f>
        <v>0</v>
      </c>
    </row>
    <row r="553" spans="1:23" x14ac:dyDescent="0.2">
      <c r="A553" s="1093"/>
      <c r="B553" s="160"/>
      <c r="C553" s="108"/>
      <c r="D553" s="95"/>
      <c r="E553" s="250"/>
      <c r="F553" s="251"/>
      <c r="H553" s="43" t="s">
        <v>267</v>
      </c>
      <c r="I553" s="302" t="str">
        <f>IF($H553="Monthly",$E553/12,IF($H553="Quarterly (From April)",$E553/4,IF($H553="Termly",$E553/3,IF($H553="Monthly (excl. August)",$E553/11,""))))</f>
        <v/>
      </c>
      <c r="J553" s="302" t="str">
        <f t="shared" si="376"/>
        <v/>
      </c>
      <c r="K553" s="302" t="str">
        <f t="shared" si="376"/>
        <v/>
      </c>
      <c r="L553" s="302" t="str">
        <f>IF($H553="Monthly",$E553/12,IF($H553="Quarterly (From April)",$E553/4,IF($H553="Termly",0,IF($H553="Monthly (excl. August)",$E553/11,""))))</f>
        <v/>
      </c>
      <c r="M553" s="302" t="str">
        <f>IF($H553="Monthly",$E553/12,IF($H553="Quarterly (From April)",0,IF($H553="Termly",0,IF($H553="Monthly (excl. August)",0,""))))</f>
        <v/>
      </c>
      <c r="N553" s="302" t="str">
        <f>IF($H553="Monthly",$E553/12,IF($H553="Quarterly (From April)",0,IF($H553="Termly",$E553/3,IF($H553="Monthly (excl. August)",$E553/11,""))))</f>
        <v/>
      </c>
      <c r="O553" s="302" t="str">
        <f>IF($H553="Monthly",$E553/12,IF($H553="Quarterly (From April)",$E553/4,IF($H553="Termly",0,IF($H553="Monthly (excl. August)",$E553/11,""))))</f>
        <v/>
      </c>
      <c r="P553" s="302" t="str">
        <f t="shared" si="377"/>
        <v/>
      </c>
      <c r="Q553" s="302" t="str">
        <f t="shared" si="377"/>
        <v/>
      </c>
      <c r="R553" s="302" t="str">
        <f>IF($H553="Monthly",$E553/12,IF($H553="Quarterly (From April)",$E553/4,IF($H553="Termly",$E553/3,IF($H553="Monthly (excl. August)",$E553/11,""))))</f>
        <v/>
      </c>
      <c r="S553" s="302" t="str">
        <f t="shared" si="378"/>
        <v/>
      </c>
      <c r="T553" s="302" t="str">
        <f t="shared" si="378"/>
        <v/>
      </c>
      <c r="U553" s="303">
        <f>E553</f>
        <v>0</v>
      </c>
      <c r="V553" s="214">
        <f>IF(ROUND(SUM(I553:T553),0)&gt;U553,1,IF(ROUND(SUM(I553:T553),0)&lt;U553,1,0))</f>
        <v>0</v>
      </c>
      <c r="W553" s="322">
        <f>ROUND(SUM(I553:T553)-U553,0)</f>
        <v>0</v>
      </c>
    </row>
    <row r="554" spans="1:23" x14ac:dyDescent="0.2">
      <c r="A554" s="1093"/>
      <c r="B554" s="160"/>
      <c r="C554" s="108"/>
      <c r="D554" s="95"/>
      <c r="E554" s="250"/>
      <c r="F554" s="251"/>
      <c r="H554" s="43" t="s">
        <v>267</v>
      </c>
      <c r="I554" s="302" t="str">
        <f>IF($H554="Monthly",$E554/12,IF($H554="Quarterly (From April)",$E554/4,IF($H554="Termly",$E554/3,IF($H554="Monthly (excl. August)",$E554/11,""))))</f>
        <v/>
      </c>
      <c r="J554" s="302" t="str">
        <f t="shared" si="376"/>
        <v/>
      </c>
      <c r="K554" s="302" t="str">
        <f t="shared" si="376"/>
        <v/>
      </c>
      <c r="L554" s="302" t="str">
        <f>IF($H554="Monthly",$E554/12,IF($H554="Quarterly (From April)",$E554/4,IF($H554="Termly",0,IF($H554="Monthly (excl. August)",$E554/11,""))))</f>
        <v/>
      </c>
      <c r="M554" s="302" t="str">
        <f>IF($H554="Monthly",$E554/12,IF($H554="Quarterly (From April)",0,IF($H554="Termly",0,IF($H554="Monthly (excl. August)",0,""))))</f>
        <v/>
      </c>
      <c r="N554" s="302" t="str">
        <f>IF($H554="Monthly",$E554/12,IF($H554="Quarterly (From April)",0,IF($H554="Termly",$E554/3,IF($H554="Monthly (excl. August)",$E554/11,""))))</f>
        <v/>
      </c>
      <c r="O554" s="302" t="str">
        <f>IF($H554="Monthly",$E554/12,IF($H554="Quarterly (From April)",$E554/4,IF($H554="Termly",0,IF($H554="Monthly (excl. August)",$E554/11,""))))</f>
        <v/>
      </c>
      <c r="P554" s="302" t="str">
        <f t="shared" si="377"/>
        <v/>
      </c>
      <c r="Q554" s="302" t="str">
        <f t="shared" si="377"/>
        <v/>
      </c>
      <c r="R554" s="302" t="str">
        <f>IF($H554="Monthly",$E554/12,IF($H554="Quarterly (From April)",$E554/4,IF($H554="Termly",$E554/3,IF($H554="Monthly (excl. August)",$E554/11,""))))</f>
        <v/>
      </c>
      <c r="S554" s="302" t="str">
        <f t="shared" si="378"/>
        <v/>
      </c>
      <c r="T554" s="302" t="str">
        <f t="shared" si="378"/>
        <v/>
      </c>
      <c r="U554" s="303">
        <f>E554</f>
        <v>0</v>
      </c>
      <c r="V554" s="214">
        <f>IF(ROUND(SUM(I554:T554),0)&gt;U554,1,IF(ROUND(SUM(I554:T554),0)&lt;U554,1,0))</f>
        <v>0</v>
      </c>
      <c r="W554" s="322">
        <f>ROUND(SUM(I554:T554)-U554,0)</f>
        <v>0</v>
      </c>
    </row>
    <row r="555" spans="1:23" ht="13.5" thickBot="1" x14ac:dyDescent="0.25">
      <c r="A555" s="1094"/>
      <c r="B555" s="161"/>
      <c r="C555" s="109"/>
      <c r="D555" s="100"/>
      <c r="E555" s="256"/>
      <c r="F555" s="257">
        <f>SUM(E552:E555)</f>
        <v>0</v>
      </c>
      <c r="H555" s="43" t="s">
        <v>267</v>
      </c>
      <c r="I555" s="302" t="str">
        <f>IF($H555="Monthly",$E555/12,IF($H555="Quarterly (From April)",$E555/4,IF($H555="Termly",$E555/3,IF($H555="Monthly (excl. August)",$E555/11,""))))</f>
        <v/>
      </c>
      <c r="J555" s="302" t="str">
        <f t="shared" si="376"/>
        <v/>
      </c>
      <c r="K555" s="302" t="str">
        <f t="shared" si="376"/>
        <v/>
      </c>
      <c r="L555" s="302" t="str">
        <f>IF($H555="Monthly",$E555/12,IF($H555="Quarterly (From April)",$E555/4,IF($H555="Termly",0,IF($H555="Monthly (excl. August)",$E555/11,""))))</f>
        <v/>
      </c>
      <c r="M555" s="302" t="str">
        <f>IF($H555="Monthly",$E555/12,IF($H555="Quarterly (From April)",0,IF($H555="Termly",0,IF($H555="Monthly (excl. August)",0,""))))</f>
        <v/>
      </c>
      <c r="N555" s="302" t="str">
        <f>IF($H555="Monthly",$E555/12,IF($H555="Quarterly (From April)",0,IF($H555="Termly",$E555/3,IF($H555="Monthly (excl. August)",$E555/11,""))))</f>
        <v/>
      </c>
      <c r="O555" s="302" t="str">
        <f>IF($H555="Monthly",$E555/12,IF($H555="Quarterly (From April)",$E555/4,IF($H555="Termly",0,IF($H555="Monthly (excl. August)",$E555/11,""))))</f>
        <v/>
      </c>
      <c r="P555" s="302" t="str">
        <f t="shared" si="377"/>
        <v/>
      </c>
      <c r="Q555" s="302" t="str">
        <f t="shared" si="377"/>
        <v/>
      </c>
      <c r="R555" s="302" t="str">
        <f>IF($H555="Monthly",$E555/12,IF($H555="Quarterly (From April)",$E555/4,IF($H555="Termly",$E555/3,IF($H555="Monthly (excl. August)",$E555/11,""))))</f>
        <v/>
      </c>
      <c r="S555" s="302" t="str">
        <f t="shared" si="378"/>
        <v/>
      </c>
      <c r="T555" s="302" t="str">
        <f t="shared" si="378"/>
        <v/>
      </c>
      <c r="U555" s="303">
        <f>E555</f>
        <v>0</v>
      </c>
      <c r="V555" s="214">
        <f>IF(ROUND(SUM(I555:T555),0)&gt;U555,1,IF(ROUND(SUM(I555:T555),0)&lt;U555,1,0))</f>
        <v>0</v>
      </c>
      <c r="W555" s="322">
        <f>ROUND(SUM(I555:T555)-U555,0)</f>
        <v>0</v>
      </c>
    </row>
    <row r="556" spans="1:23" ht="13.5" thickBot="1" x14ac:dyDescent="0.25">
      <c r="A556" s="45"/>
      <c r="B556" s="119"/>
      <c r="C556" s="111"/>
      <c r="D556" s="107"/>
      <c r="E556" s="267"/>
      <c r="F556" s="270"/>
      <c r="I556" s="306"/>
      <c r="J556" s="306"/>
      <c r="K556" s="306"/>
      <c r="L556" s="306"/>
      <c r="M556" s="306"/>
      <c r="N556" s="306"/>
      <c r="O556" s="306"/>
      <c r="P556" s="306"/>
      <c r="Q556" s="306"/>
      <c r="R556" s="306"/>
      <c r="S556" s="306"/>
      <c r="T556" s="306"/>
      <c r="U556" s="305"/>
      <c r="W556" s="322"/>
    </row>
    <row r="557" spans="1:23" ht="12.75" customHeight="1" x14ac:dyDescent="0.2">
      <c r="A557" s="1092" t="s">
        <v>530</v>
      </c>
      <c r="B557" s="170"/>
      <c r="C557" s="113"/>
      <c r="D557" s="93"/>
      <c r="E557" s="246"/>
      <c r="F557" s="247"/>
      <c r="H557" s="43" t="s">
        <v>267</v>
      </c>
      <c r="I557" s="302" t="str">
        <f>IF($H557="Monthly",$E557/12,IF($H557="Quarterly (From April)",$E557/4,IF($H557="Termly",$E557/3,IF($H557="Monthly (excl. August)",$E557/11,""))))</f>
        <v/>
      </c>
      <c r="J557" s="302" t="str">
        <f t="shared" ref="J557:K560" si="379">IF($H557="Monthly",$E557/12,IF($H557="Quarterly (From April)",0,IF($H557="Termly",0,IF($H557="Monthly (excl. August)",$E557/11,""))))</f>
        <v/>
      </c>
      <c r="K557" s="302" t="str">
        <f t="shared" si="379"/>
        <v/>
      </c>
      <c r="L557" s="302" t="str">
        <f>IF($H557="Monthly",$E557/12,IF($H557="Quarterly (From April)",$E557/4,IF($H557="Termly",0,IF($H557="Monthly (excl. August)",$E557/11,""))))</f>
        <v/>
      </c>
      <c r="M557" s="302" t="str">
        <f>IF($H557="Monthly",$E557/12,IF($H557="Quarterly (From April)",0,IF($H557="Termly",0,IF($H557="Monthly (excl. August)",0,""))))</f>
        <v/>
      </c>
      <c r="N557" s="302" t="str">
        <f>IF($H557="Monthly",$E557/12,IF($H557="Quarterly (From April)",0,IF($H557="Termly",$E557/3,IF($H557="Monthly (excl. August)",$E557/11,""))))</f>
        <v/>
      </c>
      <c r="O557" s="302" t="str">
        <f>IF($H557="Monthly",$E557/12,IF($H557="Quarterly (From April)",$E557/4,IF($H557="Termly",0,IF($H557="Monthly (excl. August)",$E557/11,""))))</f>
        <v/>
      </c>
      <c r="P557" s="302" t="str">
        <f t="shared" ref="P557:Q560" si="380">IF($H557="Monthly",$E557/12,IF($H557="Quarterly (From April)",0,IF($H557="Termly",0,IF($H557="Monthly (excl. August)",$E557/11,""))))</f>
        <v/>
      </c>
      <c r="Q557" s="302" t="str">
        <f t="shared" si="380"/>
        <v/>
      </c>
      <c r="R557" s="302" t="str">
        <f>IF($H557="Monthly",$E557/12,IF($H557="Quarterly (From April)",$E557/4,IF($H557="Termly",$E557/3,IF($H557="Monthly (excl. August)",$E557/11,""))))</f>
        <v/>
      </c>
      <c r="S557" s="302" t="str">
        <f t="shared" ref="S557:T560" si="381">IF($H557="Monthly",$E557/12,IF($H557="Quarterly (From April)",0,IF($H557="Termly",0,IF($H557="Monthly (excl. August)",$E557/11,""))))</f>
        <v/>
      </c>
      <c r="T557" s="302" t="str">
        <f t="shared" si="381"/>
        <v/>
      </c>
      <c r="U557" s="303">
        <f>E557</f>
        <v>0</v>
      </c>
      <c r="V557" s="214">
        <f>IF(ROUND(SUM(I557:T557),0)&gt;U557,1,IF(ROUND(SUM(I557:T557),0)&lt;U557,1,0))</f>
        <v>0</v>
      </c>
      <c r="W557" s="322">
        <f>ROUND(SUM(I557:T557)-U557,0)</f>
        <v>0</v>
      </c>
    </row>
    <row r="558" spans="1:23" x14ac:dyDescent="0.2">
      <c r="A558" s="1093"/>
      <c r="B558" s="160"/>
      <c r="C558" s="108"/>
      <c r="D558" s="95"/>
      <c r="E558" s="250"/>
      <c r="F558" s="251"/>
      <c r="H558" s="43" t="s">
        <v>267</v>
      </c>
      <c r="I558" s="302" t="str">
        <f>IF($H558="Monthly",$E558/12,IF($H558="Quarterly (From April)",$E558/4,IF($H558="Termly",$E558/3,IF($H558="Monthly (excl. August)",$E558/11,""))))</f>
        <v/>
      </c>
      <c r="J558" s="302" t="str">
        <f t="shared" si="379"/>
        <v/>
      </c>
      <c r="K558" s="302" t="str">
        <f t="shared" si="379"/>
        <v/>
      </c>
      <c r="L558" s="302" t="str">
        <f>IF($H558="Monthly",$E558/12,IF($H558="Quarterly (From April)",$E558/4,IF($H558="Termly",0,IF($H558="Monthly (excl. August)",$E558/11,""))))</f>
        <v/>
      </c>
      <c r="M558" s="302" t="str">
        <f>IF($H558="Monthly",$E558/12,IF($H558="Quarterly (From April)",0,IF($H558="Termly",0,IF($H558="Monthly (excl. August)",0,""))))</f>
        <v/>
      </c>
      <c r="N558" s="302" t="str">
        <f>IF($H558="Monthly",$E558/12,IF($H558="Quarterly (From April)",0,IF($H558="Termly",$E558/3,IF($H558="Monthly (excl. August)",$E558/11,""))))</f>
        <v/>
      </c>
      <c r="O558" s="302" t="str">
        <f>IF($H558="Monthly",$E558/12,IF($H558="Quarterly (From April)",$E558/4,IF($H558="Termly",0,IF($H558="Monthly (excl. August)",$E558/11,""))))</f>
        <v/>
      </c>
      <c r="P558" s="302" t="str">
        <f t="shared" si="380"/>
        <v/>
      </c>
      <c r="Q558" s="302" t="str">
        <f t="shared" si="380"/>
        <v/>
      </c>
      <c r="R558" s="302" t="str">
        <f>IF($H558="Monthly",$E558/12,IF($H558="Quarterly (From April)",$E558/4,IF($H558="Termly",$E558/3,IF($H558="Monthly (excl. August)",$E558/11,""))))</f>
        <v/>
      </c>
      <c r="S558" s="302" t="str">
        <f t="shared" si="381"/>
        <v/>
      </c>
      <c r="T558" s="302" t="str">
        <f t="shared" si="381"/>
        <v/>
      </c>
      <c r="U558" s="303">
        <f>E558</f>
        <v>0</v>
      </c>
      <c r="V558" s="214">
        <f>IF(ROUND(SUM(I558:T558),0)&gt;U558,1,IF(ROUND(SUM(I558:T558),0)&lt;U558,1,0))</f>
        <v>0</v>
      </c>
      <c r="W558" s="322">
        <f>ROUND(SUM(I558:T558)-U558,0)</f>
        <v>0</v>
      </c>
    </row>
    <row r="559" spans="1:23" x14ac:dyDescent="0.2">
      <c r="A559" s="1093"/>
      <c r="B559" s="160"/>
      <c r="C559" s="108"/>
      <c r="D559" s="95"/>
      <c r="E559" s="250"/>
      <c r="F559" s="251"/>
      <c r="H559" s="43" t="s">
        <v>267</v>
      </c>
      <c r="I559" s="302" t="str">
        <f>IF($H559="Monthly",$E559/12,IF($H559="Quarterly (From April)",$E559/4,IF($H559="Termly",$E559/3,IF($H559="Monthly (excl. August)",$E559/11,""))))</f>
        <v/>
      </c>
      <c r="J559" s="302" t="str">
        <f t="shared" si="379"/>
        <v/>
      </c>
      <c r="K559" s="302" t="str">
        <f t="shared" si="379"/>
        <v/>
      </c>
      <c r="L559" s="302" t="str">
        <f>IF($H559="Monthly",$E559/12,IF($H559="Quarterly (From April)",$E559/4,IF($H559="Termly",0,IF($H559="Monthly (excl. August)",$E559/11,""))))</f>
        <v/>
      </c>
      <c r="M559" s="302" t="str">
        <f>IF($H559="Monthly",$E559/12,IF($H559="Quarterly (From April)",0,IF($H559="Termly",0,IF($H559="Monthly (excl. August)",0,""))))</f>
        <v/>
      </c>
      <c r="N559" s="302" t="str">
        <f>IF($H559="Monthly",$E559/12,IF($H559="Quarterly (From April)",0,IF($H559="Termly",$E559/3,IF($H559="Monthly (excl. August)",$E559/11,""))))</f>
        <v/>
      </c>
      <c r="O559" s="302" t="str">
        <f>IF($H559="Monthly",$E559/12,IF($H559="Quarterly (From April)",$E559/4,IF($H559="Termly",0,IF($H559="Monthly (excl. August)",$E559/11,""))))</f>
        <v/>
      </c>
      <c r="P559" s="302" t="str">
        <f t="shared" si="380"/>
        <v/>
      </c>
      <c r="Q559" s="302" t="str">
        <f t="shared" si="380"/>
        <v/>
      </c>
      <c r="R559" s="302" t="str">
        <f>IF($H559="Monthly",$E559/12,IF($H559="Quarterly (From April)",$E559/4,IF($H559="Termly",$E559/3,IF($H559="Monthly (excl. August)",$E559/11,""))))</f>
        <v/>
      </c>
      <c r="S559" s="302" t="str">
        <f t="shared" si="381"/>
        <v/>
      </c>
      <c r="T559" s="302" t="str">
        <f t="shared" si="381"/>
        <v/>
      </c>
      <c r="U559" s="303">
        <f>E559</f>
        <v>0</v>
      </c>
      <c r="V559" s="214">
        <f>IF(ROUND(SUM(I559:T559),0)&gt;U559,1,IF(ROUND(SUM(I559:T559),0)&lt;U559,1,0))</f>
        <v>0</v>
      </c>
      <c r="W559" s="322">
        <f>ROUND(SUM(I559:T559)-U559,0)</f>
        <v>0</v>
      </c>
    </row>
    <row r="560" spans="1:23" ht="13.5" thickBot="1" x14ac:dyDescent="0.25">
      <c r="A560" s="1094"/>
      <c r="B560" s="161"/>
      <c r="C560" s="109"/>
      <c r="D560" s="100"/>
      <c r="E560" s="256"/>
      <c r="F560" s="257">
        <f>SUM(E557:E560)</f>
        <v>0</v>
      </c>
      <c r="H560" s="43" t="s">
        <v>267</v>
      </c>
      <c r="I560" s="302" t="str">
        <f>IF($H560="Monthly",$E560/12,IF($H560="Quarterly (From April)",$E560/4,IF($H560="Termly",$E560/3,IF($H560="Monthly (excl. August)",$E560/11,""))))</f>
        <v/>
      </c>
      <c r="J560" s="302" t="str">
        <f t="shared" si="379"/>
        <v/>
      </c>
      <c r="K560" s="302" t="str">
        <f t="shared" si="379"/>
        <v/>
      </c>
      <c r="L560" s="302" t="str">
        <f>IF($H560="Monthly",$E560/12,IF($H560="Quarterly (From April)",$E560/4,IF($H560="Termly",0,IF($H560="Monthly (excl. August)",$E560/11,""))))</f>
        <v/>
      </c>
      <c r="M560" s="302" t="str">
        <f>IF($H560="Monthly",$E560/12,IF($H560="Quarterly (From April)",0,IF($H560="Termly",0,IF($H560="Monthly (excl. August)",0,""))))</f>
        <v/>
      </c>
      <c r="N560" s="302" t="str">
        <f>IF($H560="Monthly",$E560/12,IF($H560="Quarterly (From April)",0,IF($H560="Termly",$E560/3,IF($H560="Monthly (excl. August)",$E560/11,""))))</f>
        <v/>
      </c>
      <c r="O560" s="302" t="str">
        <f>IF($H560="Monthly",$E560/12,IF($H560="Quarterly (From April)",$E560/4,IF($H560="Termly",0,IF($H560="Monthly (excl. August)",$E560/11,""))))</f>
        <v/>
      </c>
      <c r="P560" s="302" t="str">
        <f t="shared" si="380"/>
        <v/>
      </c>
      <c r="Q560" s="302" t="str">
        <f t="shared" si="380"/>
        <v/>
      </c>
      <c r="R560" s="302" t="str">
        <f>IF($H560="Monthly",$E560/12,IF($H560="Quarterly (From April)",$E560/4,IF($H560="Termly",$E560/3,IF($H560="Monthly (excl. August)",$E560/11,""))))</f>
        <v/>
      </c>
      <c r="S560" s="302" t="str">
        <f t="shared" si="381"/>
        <v/>
      </c>
      <c r="T560" s="302" t="str">
        <f t="shared" si="381"/>
        <v/>
      </c>
      <c r="U560" s="303">
        <f>E560</f>
        <v>0</v>
      </c>
      <c r="V560" s="214">
        <f>IF(ROUND(SUM(I560:T560),0)&gt;U560,1,IF(ROUND(SUM(I560:T560),0)&lt;U560,1,0))</f>
        <v>0</v>
      </c>
      <c r="W560" s="322">
        <f>ROUND(SUM(I560:T560)-U560,0)</f>
        <v>0</v>
      </c>
    </row>
    <row r="561" spans="1:23" ht="13.5" thickBot="1" x14ac:dyDescent="0.25">
      <c r="A561" s="45"/>
      <c r="B561" s="119"/>
      <c r="C561" s="111"/>
      <c r="D561" s="107"/>
      <c r="E561" s="267"/>
      <c r="F561" s="270"/>
      <c r="I561" s="306"/>
      <c r="J561" s="306"/>
      <c r="K561" s="306"/>
      <c r="L561" s="306"/>
      <c r="M561" s="306"/>
      <c r="N561" s="306"/>
      <c r="O561" s="306"/>
      <c r="P561" s="306"/>
      <c r="Q561" s="306"/>
      <c r="R561" s="306"/>
      <c r="S561" s="306"/>
      <c r="T561" s="306"/>
      <c r="U561" s="305"/>
      <c r="W561" s="322"/>
    </row>
    <row r="562" spans="1:23" ht="12.75" customHeight="1" x14ac:dyDescent="0.2">
      <c r="A562" s="1092" t="s">
        <v>530</v>
      </c>
      <c r="B562" s="170"/>
      <c r="C562" s="113"/>
      <c r="D562" s="93"/>
      <c r="E562" s="246"/>
      <c r="F562" s="247"/>
      <c r="H562" s="43" t="s">
        <v>267</v>
      </c>
      <c r="I562" s="302" t="str">
        <f>IF($H562="Monthly",$E562/12,IF($H562="Quarterly (From April)",$E562/4,IF($H562="Termly",$E562/3,IF($H562="Monthly (excl. August)",$E562/11,""))))</f>
        <v/>
      </c>
      <c r="J562" s="302" t="str">
        <f t="shared" ref="J562:K565" si="382">IF($H562="Monthly",$E562/12,IF($H562="Quarterly (From April)",0,IF($H562="Termly",0,IF($H562="Monthly (excl. August)",$E562/11,""))))</f>
        <v/>
      </c>
      <c r="K562" s="302" t="str">
        <f t="shared" si="382"/>
        <v/>
      </c>
      <c r="L562" s="302" t="str">
        <f>IF($H562="Monthly",$E562/12,IF($H562="Quarterly (From April)",$E562/4,IF($H562="Termly",0,IF($H562="Monthly (excl. August)",$E562/11,""))))</f>
        <v/>
      </c>
      <c r="M562" s="302" t="str">
        <f>IF($H562="Monthly",$E562/12,IF($H562="Quarterly (From April)",0,IF($H562="Termly",0,IF($H562="Monthly (excl. August)",0,""))))</f>
        <v/>
      </c>
      <c r="N562" s="302" t="str">
        <f>IF($H562="Monthly",$E562/12,IF($H562="Quarterly (From April)",0,IF($H562="Termly",$E562/3,IF($H562="Monthly (excl. August)",$E562/11,""))))</f>
        <v/>
      </c>
      <c r="O562" s="302" t="str">
        <f>IF($H562="Monthly",$E562/12,IF($H562="Quarterly (From April)",$E562/4,IF($H562="Termly",0,IF($H562="Monthly (excl. August)",$E562/11,""))))</f>
        <v/>
      </c>
      <c r="P562" s="302" t="str">
        <f t="shared" ref="P562:Q565" si="383">IF($H562="Monthly",$E562/12,IF($H562="Quarterly (From April)",0,IF($H562="Termly",0,IF($H562="Monthly (excl. August)",$E562/11,""))))</f>
        <v/>
      </c>
      <c r="Q562" s="302" t="str">
        <f t="shared" si="383"/>
        <v/>
      </c>
      <c r="R562" s="302" t="str">
        <f>IF($H562="Monthly",$E562/12,IF($H562="Quarterly (From April)",$E562/4,IF($H562="Termly",$E562/3,IF($H562="Monthly (excl. August)",$E562/11,""))))</f>
        <v/>
      </c>
      <c r="S562" s="302" t="str">
        <f t="shared" ref="S562:T565" si="384">IF($H562="Monthly",$E562/12,IF($H562="Quarterly (From April)",0,IF($H562="Termly",0,IF($H562="Monthly (excl. August)",$E562/11,""))))</f>
        <v/>
      </c>
      <c r="T562" s="302" t="str">
        <f t="shared" si="384"/>
        <v/>
      </c>
      <c r="U562" s="303">
        <f>E562</f>
        <v>0</v>
      </c>
      <c r="V562" s="214">
        <f>IF(ROUND(SUM(I562:T562),0)&gt;U562,1,IF(ROUND(SUM(I562:T562),0)&lt;U562,1,0))</f>
        <v>0</v>
      </c>
      <c r="W562" s="322">
        <f>ROUND(SUM(I562:T562)-U562,0)</f>
        <v>0</v>
      </c>
    </row>
    <row r="563" spans="1:23" x14ac:dyDescent="0.2">
      <c r="A563" s="1093"/>
      <c r="B563" s="160"/>
      <c r="C563" s="108"/>
      <c r="D563" s="95"/>
      <c r="E563" s="250"/>
      <c r="F563" s="251"/>
      <c r="H563" s="43" t="s">
        <v>267</v>
      </c>
      <c r="I563" s="302" t="str">
        <f>IF($H563="Monthly",$E563/12,IF($H563="Quarterly (From April)",$E563/4,IF($H563="Termly",$E563/3,IF($H563="Monthly (excl. August)",$E563/11,""))))</f>
        <v/>
      </c>
      <c r="J563" s="302" t="str">
        <f t="shared" si="382"/>
        <v/>
      </c>
      <c r="K563" s="302" t="str">
        <f t="shared" si="382"/>
        <v/>
      </c>
      <c r="L563" s="302" t="str">
        <f>IF($H563="Monthly",$E563/12,IF($H563="Quarterly (From April)",$E563/4,IF($H563="Termly",0,IF($H563="Monthly (excl. August)",$E563/11,""))))</f>
        <v/>
      </c>
      <c r="M563" s="302" t="str">
        <f>IF($H563="Monthly",$E563/12,IF($H563="Quarterly (From April)",0,IF($H563="Termly",0,IF($H563="Monthly (excl. August)",0,""))))</f>
        <v/>
      </c>
      <c r="N563" s="302" t="str">
        <f>IF($H563="Monthly",$E563/12,IF($H563="Quarterly (From April)",0,IF($H563="Termly",$E563/3,IF($H563="Monthly (excl. August)",$E563/11,""))))</f>
        <v/>
      </c>
      <c r="O563" s="302" t="str">
        <f>IF($H563="Monthly",$E563/12,IF($H563="Quarterly (From April)",$E563/4,IF($H563="Termly",0,IF($H563="Monthly (excl. August)",$E563/11,""))))</f>
        <v/>
      </c>
      <c r="P563" s="302" t="str">
        <f t="shared" si="383"/>
        <v/>
      </c>
      <c r="Q563" s="302" t="str">
        <f t="shared" si="383"/>
        <v/>
      </c>
      <c r="R563" s="302" t="str">
        <f>IF($H563="Monthly",$E563/12,IF($H563="Quarterly (From April)",$E563/4,IF($H563="Termly",$E563/3,IF($H563="Monthly (excl. August)",$E563/11,""))))</f>
        <v/>
      </c>
      <c r="S563" s="302" t="str">
        <f t="shared" si="384"/>
        <v/>
      </c>
      <c r="T563" s="302" t="str">
        <f t="shared" si="384"/>
        <v/>
      </c>
      <c r="U563" s="303">
        <f>E563</f>
        <v>0</v>
      </c>
      <c r="V563" s="214">
        <f>IF(ROUND(SUM(I563:T563),0)&gt;U563,1,IF(ROUND(SUM(I563:T563),0)&lt;U563,1,0))</f>
        <v>0</v>
      </c>
      <c r="W563" s="322">
        <f>ROUND(SUM(I563:T563)-U563,0)</f>
        <v>0</v>
      </c>
    </row>
    <row r="564" spans="1:23" x14ac:dyDescent="0.2">
      <c r="A564" s="1093"/>
      <c r="B564" s="160"/>
      <c r="C564" s="108"/>
      <c r="D564" s="95"/>
      <c r="E564" s="250"/>
      <c r="F564" s="251"/>
      <c r="H564" s="43" t="s">
        <v>267</v>
      </c>
      <c r="I564" s="302" t="str">
        <f>IF($H564="Monthly",$E564/12,IF($H564="Quarterly (From April)",$E564/4,IF($H564="Termly",$E564/3,IF($H564="Monthly (excl. August)",$E564/11,""))))</f>
        <v/>
      </c>
      <c r="J564" s="302" t="str">
        <f t="shared" si="382"/>
        <v/>
      </c>
      <c r="K564" s="302" t="str">
        <f t="shared" si="382"/>
        <v/>
      </c>
      <c r="L564" s="302" t="str">
        <f>IF($H564="Monthly",$E564/12,IF($H564="Quarterly (From April)",$E564/4,IF($H564="Termly",0,IF($H564="Monthly (excl. August)",$E564/11,""))))</f>
        <v/>
      </c>
      <c r="M564" s="302" t="str">
        <f>IF($H564="Monthly",$E564/12,IF($H564="Quarterly (From April)",0,IF($H564="Termly",0,IF($H564="Monthly (excl. August)",0,""))))</f>
        <v/>
      </c>
      <c r="N564" s="302" t="str">
        <f>IF($H564="Monthly",$E564/12,IF($H564="Quarterly (From April)",0,IF($H564="Termly",$E564/3,IF($H564="Monthly (excl. August)",$E564/11,""))))</f>
        <v/>
      </c>
      <c r="O564" s="302" t="str">
        <f>IF($H564="Monthly",$E564/12,IF($H564="Quarterly (From April)",$E564/4,IF($H564="Termly",0,IF($H564="Monthly (excl. August)",$E564/11,""))))</f>
        <v/>
      </c>
      <c r="P564" s="302" t="str">
        <f t="shared" si="383"/>
        <v/>
      </c>
      <c r="Q564" s="302" t="str">
        <f t="shared" si="383"/>
        <v/>
      </c>
      <c r="R564" s="302" t="str">
        <f>IF($H564="Monthly",$E564/12,IF($H564="Quarterly (From April)",$E564/4,IF($H564="Termly",$E564/3,IF($H564="Monthly (excl. August)",$E564/11,""))))</f>
        <v/>
      </c>
      <c r="S564" s="302" t="str">
        <f t="shared" si="384"/>
        <v/>
      </c>
      <c r="T564" s="302" t="str">
        <f t="shared" si="384"/>
        <v/>
      </c>
      <c r="U564" s="303">
        <f>E564</f>
        <v>0</v>
      </c>
      <c r="V564" s="214">
        <f>IF(ROUND(SUM(I564:T564),0)&gt;U564,1,IF(ROUND(SUM(I564:T564),0)&lt;U564,1,0))</f>
        <v>0</v>
      </c>
      <c r="W564" s="322">
        <f>ROUND(SUM(I564:T564)-U564,0)</f>
        <v>0</v>
      </c>
    </row>
    <row r="565" spans="1:23" ht="13.5" thickBot="1" x14ac:dyDescent="0.25">
      <c r="A565" s="1094"/>
      <c r="B565" s="161"/>
      <c r="C565" s="109"/>
      <c r="D565" s="100"/>
      <c r="E565" s="256"/>
      <c r="F565" s="257">
        <f>SUM(E562:E565)</f>
        <v>0</v>
      </c>
      <c r="H565" s="43" t="s">
        <v>267</v>
      </c>
      <c r="I565" s="302" t="str">
        <f>IF($H565="Monthly",$E565/12,IF($H565="Quarterly (From April)",$E565/4,IF($H565="Termly",$E565/3,IF($H565="Monthly (excl. August)",$E565/11,""))))</f>
        <v/>
      </c>
      <c r="J565" s="302" t="str">
        <f t="shared" si="382"/>
        <v/>
      </c>
      <c r="K565" s="302" t="str">
        <f t="shared" si="382"/>
        <v/>
      </c>
      <c r="L565" s="302" t="str">
        <f>IF($H565="Monthly",$E565/12,IF($H565="Quarterly (From April)",$E565/4,IF($H565="Termly",0,IF($H565="Monthly (excl. August)",$E565/11,""))))</f>
        <v/>
      </c>
      <c r="M565" s="302" t="str">
        <f>IF($H565="Monthly",$E565/12,IF($H565="Quarterly (From April)",0,IF($H565="Termly",0,IF($H565="Monthly (excl. August)",0,""))))</f>
        <v/>
      </c>
      <c r="N565" s="302" t="str">
        <f>IF($H565="Monthly",$E565/12,IF($H565="Quarterly (From April)",0,IF($H565="Termly",$E565/3,IF($H565="Monthly (excl. August)",$E565/11,""))))</f>
        <v/>
      </c>
      <c r="O565" s="302" t="str">
        <f>IF($H565="Monthly",$E565/12,IF($H565="Quarterly (From April)",$E565/4,IF($H565="Termly",0,IF($H565="Monthly (excl. August)",$E565/11,""))))</f>
        <v/>
      </c>
      <c r="P565" s="302" t="str">
        <f t="shared" si="383"/>
        <v/>
      </c>
      <c r="Q565" s="302" t="str">
        <f t="shared" si="383"/>
        <v/>
      </c>
      <c r="R565" s="302" t="str">
        <f>IF($H565="Monthly",$E565/12,IF($H565="Quarterly (From April)",$E565/4,IF($H565="Termly",$E565/3,IF($H565="Monthly (excl. August)",$E565/11,""))))</f>
        <v/>
      </c>
      <c r="S565" s="302" t="str">
        <f t="shared" si="384"/>
        <v/>
      </c>
      <c r="T565" s="302" t="str">
        <f t="shared" si="384"/>
        <v/>
      </c>
      <c r="U565" s="303">
        <f>E565</f>
        <v>0</v>
      </c>
      <c r="V565" s="214">
        <f>IF(ROUND(SUM(I565:T565),0)&gt;U565,1,IF(ROUND(SUM(I565:T565),0)&lt;U565,1,0))</f>
        <v>0</v>
      </c>
      <c r="W565" s="322">
        <f>ROUND(SUM(I565:T565)-U565,0)</f>
        <v>0</v>
      </c>
    </row>
    <row r="566" spans="1:23" ht="13.5" thickBot="1" x14ac:dyDescent="0.25">
      <c r="A566" s="45"/>
      <c r="B566" s="119"/>
      <c r="C566" s="111"/>
      <c r="D566" s="107"/>
      <c r="E566" s="267"/>
      <c r="F566" s="270"/>
      <c r="I566" s="306"/>
      <c r="J566" s="306"/>
      <c r="K566" s="306"/>
      <c r="L566" s="306"/>
      <c r="M566" s="306"/>
      <c r="N566" s="306"/>
      <c r="O566" s="306"/>
      <c r="P566" s="306"/>
      <c r="Q566" s="306"/>
      <c r="R566" s="306"/>
      <c r="S566" s="306"/>
      <c r="T566" s="306"/>
      <c r="U566" s="305"/>
      <c r="W566" s="322"/>
    </row>
    <row r="567" spans="1:23" ht="12.75" customHeight="1" x14ac:dyDescent="0.2">
      <c r="A567" s="1092" t="s">
        <v>530</v>
      </c>
      <c r="B567" s="170"/>
      <c r="C567" s="113"/>
      <c r="D567" s="93"/>
      <c r="E567" s="246"/>
      <c r="F567" s="247"/>
      <c r="H567" s="43" t="s">
        <v>267</v>
      </c>
      <c r="I567" s="302" t="str">
        <f>IF($H567="Monthly",$E567/12,IF($H567="Quarterly (From April)",$E567/4,IF($H567="Termly",$E567/3,IF($H567="Monthly (excl. August)",$E567/11,""))))</f>
        <v/>
      </c>
      <c r="J567" s="302" t="str">
        <f t="shared" ref="J567:K570" si="385">IF($H567="Monthly",$E567/12,IF($H567="Quarterly (From April)",0,IF($H567="Termly",0,IF($H567="Monthly (excl. August)",$E567/11,""))))</f>
        <v/>
      </c>
      <c r="K567" s="302" t="str">
        <f t="shared" si="385"/>
        <v/>
      </c>
      <c r="L567" s="302" t="str">
        <f>IF($H567="Monthly",$E567/12,IF($H567="Quarterly (From April)",$E567/4,IF($H567="Termly",0,IF($H567="Monthly (excl. August)",$E567/11,""))))</f>
        <v/>
      </c>
      <c r="M567" s="302" t="str">
        <f>IF($H567="Monthly",$E567/12,IF($H567="Quarterly (From April)",0,IF($H567="Termly",0,IF($H567="Monthly (excl. August)",0,""))))</f>
        <v/>
      </c>
      <c r="N567" s="302" t="str">
        <f>IF($H567="Monthly",$E567/12,IF($H567="Quarterly (From April)",0,IF($H567="Termly",$E567/3,IF($H567="Monthly (excl. August)",$E567/11,""))))</f>
        <v/>
      </c>
      <c r="O567" s="302" t="str">
        <f>IF($H567="Monthly",$E567/12,IF($H567="Quarterly (From April)",$E567/4,IF($H567="Termly",0,IF($H567="Monthly (excl. August)",$E567/11,""))))</f>
        <v/>
      </c>
      <c r="P567" s="302" t="str">
        <f t="shared" ref="P567:Q570" si="386">IF($H567="Monthly",$E567/12,IF($H567="Quarterly (From April)",0,IF($H567="Termly",0,IF($H567="Monthly (excl. August)",$E567/11,""))))</f>
        <v/>
      </c>
      <c r="Q567" s="302" t="str">
        <f t="shared" si="386"/>
        <v/>
      </c>
      <c r="R567" s="302" t="str">
        <f>IF($H567="Monthly",$E567/12,IF($H567="Quarterly (From April)",$E567/4,IF($H567="Termly",$E567/3,IF($H567="Monthly (excl. August)",$E567/11,""))))</f>
        <v/>
      </c>
      <c r="S567" s="302" t="str">
        <f t="shared" ref="S567:T570" si="387">IF($H567="Monthly",$E567/12,IF($H567="Quarterly (From April)",0,IF($H567="Termly",0,IF($H567="Monthly (excl. August)",$E567/11,""))))</f>
        <v/>
      </c>
      <c r="T567" s="302" t="str">
        <f t="shared" si="387"/>
        <v/>
      </c>
      <c r="U567" s="303">
        <f>E567</f>
        <v>0</v>
      </c>
      <c r="V567" s="214">
        <f>IF(ROUND(SUM(I567:T567),0)&gt;U567,1,IF(ROUND(SUM(I567:T567),0)&lt;U567,1,0))</f>
        <v>0</v>
      </c>
      <c r="W567" s="322">
        <f>ROUND(SUM(I567:T567)-U567,0)</f>
        <v>0</v>
      </c>
    </row>
    <row r="568" spans="1:23" x14ac:dyDescent="0.2">
      <c r="A568" s="1093"/>
      <c r="B568" s="160"/>
      <c r="C568" s="108"/>
      <c r="D568" s="95"/>
      <c r="E568" s="250"/>
      <c r="F568" s="251"/>
      <c r="H568" s="43" t="s">
        <v>267</v>
      </c>
      <c r="I568" s="302" t="str">
        <f>IF($H568="Monthly",$E568/12,IF($H568="Quarterly (From April)",$E568/4,IF($H568="Termly",$E568/3,IF($H568="Monthly (excl. August)",$E568/11,""))))</f>
        <v/>
      </c>
      <c r="J568" s="302" t="str">
        <f t="shared" si="385"/>
        <v/>
      </c>
      <c r="K568" s="302" t="str">
        <f t="shared" si="385"/>
        <v/>
      </c>
      <c r="L568" s="302" t="str">
        <f>IF($H568="Monthly",$E568/12,IF($H568="Quarterly (From April)",$E568/4,IF($H568="Termly",0,IF($H568="Monthly (excl. August)",$E568/11,""))))</f>
        <v/>
      </c>
      <c r="M568" s="302" t="str">
        <f>IF($H568="Monthly",$E568/12,IF($H568="Quarterly (From April)",0,IF($H568="Termly",0,IF($H568="Monthly (excl. August)",0,""))))</f>
        <v/>
      </c>
      <c r="N568" s="302" t="str">
        <f>IF($H568="Monthly",$E568/12,IF($H568="Quarterly (From April)",0,IF($H568="Termly",$E568/3,IF($H568="Monthly (excl. August)",$E568/11,""))))</f>
        <v/>
      </c>
      <c r="O568" s="302" t="str">
        <f>IF($H568="Monthly",$E568/12,IF($H568="Quarterly (From April)",$E568/4,IF($H568="Termly",0,IF($H568="Monthly (excl. August)",$E568/11,""))))</f>
        <v/>
      </c>
      <c r="P568" s="302" t="str">
        <f t="shared" si="386"/>
        <v/>
      </c>
      <c r="Q568" s="302" t="str">
        <f t="shared" si="386"/>
        <v/>
      </c>
      <c r="R568" s="302" t="str">
        <f>IF($H568="Monthly",$E568/12,IF($H568="Quarterly (From April)",$E568/4,IF($H568="Termly",$E568/3,IF($H568="Monthly (excl. August)",$E568/11,""))))</f>
        <v/>
      </c>
      <c r="S568" s="302" t="str">
        <f t="shared" si="387"/>
        <v/>
      </c>
      <c r="T568" s="302" t="str">
        <f t="shared" si="387"/>
        <v/>
      </c>
      <c r="U568" s="303">
        <f>E568</f>
        <v>0</v>
      </c>
      <c r="V568" s="214">
        <f>IF(ROUND(SUM(I568:T568),0)&gt;U568,1,IF(ROUND(SUM(I568:T568),0)&lt;U568,1,0))</f>
        <v>0</v>
      </c>
      <c r="W568" s="322">
        <f>ROUND(SUM(I568:T568)-U568,0)</f>
        <v>0</v>
      </c>
    </row>
    <row r="569" spans="1:23" x14ac:dyDescent="0.2">
      <c r="A569" s="1093"/>
      <c r="B569" s="160"/>
      <c r="C569" s="108"/>
      <c r="D569" s="95"/>
      <c r="E569" s="250"/>
      <c r="F569" s="251"/>
      <c r="H569" s="43" t="s">
        <v>267</v>
      </c>
      <c r="I569" s="302" t="str">
        <f>IF($H569="Monthly",$E569/12,IF($H569="Quarterly (From April)",$E569/4,IF($H569="Termly",$E569/3,IF($H569="Monthly (excl. August)",$E569/11,""))))</f>
        <v/>
      </c>
      <c r="J569" s="302" t="str">
        <f t="shared" si="385"/>
        <v/>
      </c>
      <c r="K569" s="302" t="str">
        <f t="shared" si="385"/>
        <v/>
      </c>
      <c r="L569" s="302" t="str">
        <f>IF($H569="Monthly",$E569/12,IF($H569="Quarterly (From April)",$E569/4,IF($H569="Termly",0,IF($H569="Monthly (excl. August)",$E569/11,""))))</f>
        <v/>
      </c>
      <c r="M569" s="302" t="str">
        <f>IF($H569="Monthly",$E569/12,IF($H569="Quarterly (From April)",0,IF($H569="Termly",0,IF($H569="Monthly (excl. August)",0,""))))</f>
        <v/>
      </c>
      <c r="N569" s="302" t="str">
        <f>IF($H569="Monthly",$E569/12,IF($H569="Quarterly (From April)",0,IF($H569="Termly",$E569/3,IF($H569="Monthly (excl. August)",$E569/11,""))))</f>
        <v/>
      </c>
      <c r="O569" s="302" t="str">
        <f>IF($H569="Monthly",$E569/12,IF($H569="Quarterly (From April)",$E569/4,IF($H569="Termly",0,IF($H569="Monthly (excl. August)",$E569/11,""))))</f>
        <v/>
      </c>
      <c r="P569" s="302" t="str">
        <f t="shared" si="386"/>
        <v/>
      </c>
      <c r="Q569" s="302" t="str">
        <f t="shared" si="386"/>
        <v/>
      </c>
      <c r="R569" s="302" t="str">
        <f>IF($H569="Monthly",$E569/12,IF($H569="Quarterly (From April)",$E569/4,IF($H569="Termly",$E569/3,IF($H569="Monthly (excl. August)",$E569/11,""))))</f>
        <v/>
      </c>
      <c r="S569" s="302" t="str">
        <f t="shared" si="387"/>
        <v/>
      </c>
      <c r="T569" s="302" t="str">
        <f t="shared" si="387"/>
        <v/>
      </c>
      <c r="U569" s="303">
        <f>E569</f>
        <v>0</v>
      </c>
      <c r="V569" s="214">
        <f>IF(ROUND(SUM(I569:T569),0)&gt;U569,1,IF(ROUND(SUM(I569:T569),0)&lt;U569,1,0))</f>
        <v>0</v>
      </c>
      <c r="W569" s="322">
        <f>ROUND(SUM(I569:T569)-U569,0)</f>
        <v>0</v>
      </c>
    </row>
    <row r="570" spans="1:23" ht="13.5" thickBot="1" x14ac:dyDescent="0.25">
      <c r="A570" s="1094"/>
      <c r="B570" s="161"/>
      <c r="C570" s="109"/>
      <c r="D570" s="100"/>
      <c r="E570" s="256"/>
      <c r="F570" s="257">
        <f>SUM(E567:E570)</f>
        <v>0</v>
      </c>
      <c r="H570" s="43" t="s">
        <v>267</v>
      </c>
      <c r="I570" s="302" t="str">
        <f>IF($H570="Monthly",$E570/12,IF($H570="Quarterly (From April)",$E570/4,IF($H570="Termly",$E570/3,IF($H570="Monthly (excl. August)",$E570/11,""))))</f>
        <v/>
      </c>
      <c r="J570" s="302" t="str">
        <f t="shared" si="385"/>
        <v/>
      </c>
      <c r="K570" s="302" t="str">
        <f t="shared" si="385"/>
        <v/>
      </c>
      <c r="L570" s="302" t="str">
        <f>IF($H570="Monthly",$E570/12,IF($H570="Quarterly (From April)",$E570/4,IF($H570="Termly",0,IF($H570="Monthly (excl. August)",$E570/11,""))))</f>
        <v/>
      </c>
      <c r="M570" s="302" t="str">
        <f>IF($H570="Monthly",$E570/12,IF($H570="Quarterly (From April)",0,IF($H570="Termly",0,IF($H570="Monthly (excl. August)",0,""))))</f>
        <v/>
      </c>
      <c r="N570" s="302" t="str">
        <f>IF($H570="Monthly",$E570/12,IF($H570="Quarterly (From April)",0,IF($H570="Termly",$E570/3,IF($H570="Monthly (excl. August)",$E570/11,""))))</f>
        <v/>
      </c>
      <c r="O570" s="302" t="str">
        <f>IF($H570="Monthly",$E570/12,IF($H570="Quarterly (From April)",$E570/4,IF($H570="Termly",0,IF($H570="Monthly (excl. August)",$E570/11,""))))</f>
        <v/>
      </c>
      <c r="P570" s="302" t="str">
        <f t="shared" si="386"/>
        <v/>
      </c>
      <c r="Q570" s="302" t="str">
        <f t="shared" si="386"/>
        <v/>
      </c>
      <c r="R570" s="302" t="str">
        <f>IF($H570="Monthly",$E570/12,IF($H570="Quarterly (From April)",$E570/4,IF($H570="Termly",$E570/3,IF($H570="Monthly (excl. August)",$E570/11,""))))</f>
        <v/>
      </c>
      <c r="S570" s="302" t="str">
        <f t="shared" si="387"/>
        <v/>
      </c>
      <c r="T570" s="302" t="str">
        <f t="shared" si="387"/>
        <v/>
      </c>
      <c r="U570" s="303">
        <f>E570</f>
        <v>0</v>
      </c>
      <c r="V570" s="214">
        <f>IF(ROUND(SUM(I570:T570),0)&gt;U570,1,IF(ROUND(SUM(I570:T570),0)&lt;U570,1,0))</f>
        <v>0</v>
      </c>
      <c r="W570" s="322">
        <f>ROUND(SUM(I570:T570)-U570,0)</f>
        <v>0</v>
      </c>
    </row>
    <row r="571" spans="1:23" ht="13.5" thickBot="1" x14ac:dyDescent="0.25">
      <c r="A571" s="45"/>
      <c r="B571" s="119"/>
      <c r="C571" s="111"/>
      <c r="D571" s="107"/>
      <c r="E571" s="267"/>
      <c r="F571" s="270"/>
      <c r="I571" s="306"/>
      <c r="J571" s="306"/>
      <c r="K571" s="306"/>
      <c r="L571" s="306"/>
      <c r="M571" s="306"/>
      <c r="N571" s="306"/>
      <c r="O571" s="306"/>
      <c r="P571" s="306"/>
      <c r="Q571" s="306"/>
      <c r="R571" s="306"/>
      <c r="S571" s="306"/>
      <c r="T571" s="306"/>
      <c r="U571" s="305"/>
      <c r="W571" s="322"/>
    </row>
    <row r="572" spans="1:23" ht="9" customHeight="1" x14ac:dyDescent="0.2">
      <c r="A572" s="205"/>
      <c r="B572" s="206"/>
      <c r="C572" s="207"/>
      <c r="D572" s="208"/>
      <c r="E572" s="278"/>
      <c r="F572" s="279"/>
    </row>
    <row r="573" spans="1:23" ht="12.75" customHeight="1" thickBot="1" x14ac:dyDescent="0.25">
      <c r="A573" s="15"/>
      <c r="B573" s="16"/>
      <c r="C573" s="17"/>
      <c r="D573" s="18"/>
      <c r="E573" s="280">
        <f>SUM(E10:E571)</f>
        <v>545187.19999999995</v>
      </c>
      <c r="F573" s="281">
        <f>SUM(F10:F571)</f>
        <v>545385.19999999995</v>
      </c>
    </row>
    <row r="574" spans="1:23" ht="6.75" customHeight="1" thickTop="1" thickBot="1" x14ac:dyDescent="0.25">
      <c r="A574" s="19"/>
      <c r="B574" s="20"/>
      <c r="C574" s="21"/>
      <c r="D574" s="22"/>
      <c r="E574" s="194"/>
      <c r="F574" s="14"/>
    </row>
    <row r="575" spans="1:23" x14ac:dyDescent="0.2">
      <c r="A575" s="23"/>
      <c r="B575" s="24"/>
      <c r="C575" s="25"/>
      <c r="D575" s="26"/>
      <c r="E575" s="195"/>
      <c r="F575" s="27"/>
    </row>
    <row r="576" spans="1:23" ht="13.5" thickBot="1" x14ac:dyDescent="0.25">
      <c r="B576" s="28"/>
    </row>
    <row r="577" spans="1:6" ht="25.5" customHeight="1" thickBot="1" x14ac:dyDescent="0.25">
      <c r="A577" s="609" t="str">
        <f>'Fin.Yr Lookups'!A5&amp;" Contingencies"</f>
        <v>2020-21 Contingencies</v>
      </c>
      <c r="B577" s="29"/>
      <c r="C577" s="1089" t="s">
        <v>529</v>
      </c>
      <c r="D577" s="1089"/>
      <c r="E577" s="1089"/>
      <c r="F577" s="30" t="s">
        <v>531</v>
      </c>
    </row>
    <row r="578" spans="1:6" ht="38.25" customHeight="1" x14ac:dyDescent="0.2">
      <c r="A578" s="86" t="s">
        <v>538</v>
      </c>
      <c r="B578" s="9"/>
      <c r="C578" s="1088" t="str">
        <f>"NB: Only include here the contingency amount that you think will actually be spent on unbudgeted items this year. "&amp;"Any other available funds should be allocated to earmarked contingencies for "&amp;'Fin.Yr Lookups'!A5&amp;", or for use after "&amp;'Fin.Yr Lookups'!A5&amp;"."</f>
        <v>NB: Only include here the contingency amount that you think will actually be spent on unbudgeted items this year. Any other available funds should be allocated to earmarked contingencies for 2020-21, or for use after 2020-21.</v>
      </c>
      <c r="D578" s="1088"/>
      <c r="E578" s="1088"/>
      <c r="F578" s="282">
        <v>11156</v>
      </c>
    </row>
    <row r="579" spans="1:6" ht="25.5" customHeight="1" x14ac:dyDescent="0.2">
      <c r="A579" s="557" t="s">
        <v>716</v>
      </c>
      <c r="B579" s="31"/>
      <c r="C579" s="1090"/>
      <c r="D579" s="1090"/>
      <c r="E579" s="1091"/>
      <c r="F579" s="283"/>
    </row>
    <row r="580" spans="1:6" ht="25.5" customHeight="1" x14ac:dyDescent="0.2">
      <c r="A580" s="557" t="s">
        <v>716</v>
      </c>
      <c r="B580" s="31"/>
      <c r="C580" s="1090"/>
      <c r="D580" s="1090"/>
      <c r="E580" s="1091"/>
      <c r="F580" s="283"/>
    </row>
    <row r="581" spans="1:6" ht="25.5" customHeight="1" x14ac:dyDescent="0.2">
      <c r="A581" s="557" t="s">
        <v>716</v>
      </c>
      <c r="B581" s="31"/>
      <c r="C581" s="1090"/>
      <c r="D581" s="1090"/>
      <c r="E581" s="1091"/>
      <c r="F581" s="283"/>
    </row>
    <row r="582" spans="1:6" ht="25.5" customHeight="1" thickBot="1" x14ac:dyDescent="0.25">
      <c r="A582" s="557" t="s">
        <v>716</v>
      </c>
      <c r="B582" s="32"/>
      <c r="C582" s="1086"/>
      <c r="D582" s="1086"/>
      <c r="E582" s="1087"/>
      <c r="F582" s="284"/>
    </row>
    <row r="583" spans="1:6" ht="25.5" customHeight="1" thickBot="1" x14ac:dyDescent="0.25">
      <c r="A583" s="33"/>
      <c r="B583" s="34"/>
      <c r="C583" s="35"/>
      <c r="D583" s="35"/>
      <c r="E583" s="196"/>
      <c r="F583" s="285">
        <f>SUM(F578:F582)</f>
        <v>11156</v>
      </c>
    </row>
    <row r="584" spans="1:6" ht="13.5" thickBot="1" x14ac:dyDescent="0.25">
      <c r="A584" s="36"/>
      <c r="B584" s="37"/>
      <c r="D584" s="1"/>
      <c r="E584" s="197"/>
      <c r="F584" s="286"/>
    </row>
    <row r="585" spans="1:6" ht="26.25" thickBot="1" x14ac:dyDescent="0.25">
      <c r="A585" s="1096" t="str">
        <f>"Contingencies earmarked for expenditure after "&amp;'Fin.Yr Lookups'!A8</f>
        <v>Contingencies earmarked for expenditure after 31/3/21</v>
      </c>
      <c r="B585" s="1097"/>
      <c r="C585" s="1089" t="s">
        <v>529</v>
      </c>
      <c r="D585" s="1089"/>
      <c r="E585" s="198" t="s">
        <v>534</v>
      </c>
      <c r="F585" s="287" t="s">
        <v>531</v>
      </c>
    </row>
    <row r="586" spans="1:6" ht="25.5" customHeight="1" x14ac:dyDescent="0.2">
      <c r="A586" s="557" t="s">
        <v>716</v>
      </c>
      <c r="B586" s="87"/>
      <c r="C586" s="1095"/>
      <c r="D586" s="1095"/>
      <c r="E586" s="347"/>
      <c r="F586" s="288"/>
    </row>
    <row r="587" spans="1:6" ht="25.5" customHeight="1" x14ac:dyDescent="0.2">
      <c r="A587" s="557" t="s">
        <v>716</v>
      </c>
      <c r="B587" s="88"/>
      <c r="C587" s="1090"/>
      <c r="D587" s="1090"/>
      <c r="E587" s="348"/>
      <c r="F587" s="283"/>
    </row>
    <row r="588" spans="1:6" ht="25.5" customHeight="1" x14ac:dyDescent="0.2">
      <c r="A588" s="557" t="s">
        <v>716</v>
      </c>
      <c r="B588" s="88"/>
      <c r="C588" s="1090"/>
      <c r="D588" s="1090"/>
      <c r="E588" s="348"/>
      <c r="F588" s="283"/>
    </row>
    <row r="589" spans="1:6" ht="25.5" customHeight="1" x14ac:dyDescent="0.2">
      <c r="A589" s="557" t="s">
        <v>716</v>
      </c>
      <c r="B589" s="89"/>
      <c r="C589" s="1090"/>
      <c r="D589" s="1090"/>
      <c r="E589" s="348"/>
      <c r="F589" s="283"/>
    </row>
    <row r="590" spans="1:6" ht="25.5" customHeight="1" x14ac:dyDescent="0.2">
      <c r="A590" s="557" t="s">
        <v>716</v>
      </c>
      <c r="B590" s="89"/>
      <c r="C590" s="1090"/>
      <c r="D590" s="1090"/>
      <c r="E590" s="348"/>
      <c r="F590" s="283"/>
    </row>
    <row r="591" spans="1:6" ht="25.5" customHeight="1" x14ac:dyDescent="0.2">
      <c r="A591" s="557" t="s">
        <v>716</v>
      </c>
      <c r="B591" s="89"/>
      <c r="C591" s="1090"/>
      <c r="D591" s="1090"/>
      <c r="E591" s="348"/>
      <c r="F591" s="283"/>
    </row>
    <row r="592" spans="1:6" ht="25.5" customHeight="1" x14ac:dyDescent="0.2">
      <c r="A592" s="557" t="s">
        <v>716</v>
      </c>
      <c r="B592" s="89"/>
      <c r="C592" s="1090"/>
      <c r="D592" s="1090"/>
      <c r="E592" s="348"/>
      <c r="F592" s="283"/>
    </row>
    <row r="593" spans="1:6" ht="25.5" customHeight="1" thickBot="1" x14ac:dyDescent="0.25">
      <c r="A593" s="557" t="s">
        <v>716</v>
      </c>
      <c r="B593" s="90"/>
      <c r="C593" s="1086"/>
      <c r="D593" s="1086"/>
      <c r="E593" s="349"/>
      <c r="F593" s="284"/>
    </row>
    <row r="594" spans="1:6" ht="24" customHeight="1" thickBot="1" x14ac:dyDescent="0.25">
      <c r="A594" s="38"/>
      <c r="B594" s="38"/>
      <c r="C594" s="39"/>
      <c r="D594" s="39"/>
      <c r="E594" s="199"/>
      <c r="F594" s="285">
        <f>SUM(F586:F593)</f>
        <v>0</v>
      </c>
    </row>
    <row r="595" spans="1:6" x14ac:dyDescent="0.2">
      <c r="A595" s="11"/>
      <c r="B595" s="11"/>
      <c r="C595" s="39"/>
      <c r="D595" s="39"/>
      <c r="E595" s="199"/>
      <c r="F595" s="39"/>
    </row>
  </sheetData>
  <sheetProtection algorithmName="SHA-512" hashValue="EvRddaePLWc1FespbixUeEDP2j15OKFZ3PWGw0a+slyjqqRESz/lfHYfsCbrVw2s+Z9drAPHWPQRPRNjlq3how==" saltValue="0Y/M1RdgC3Kis45WKfLFiQ==" spinCount="100000" sheet="1" formatCells="0" formatRows="0"/>
  <mergeCells count="111">
    <mergeCell ref="A36:A40"/>
    <mergeCell ref="B5:C5"/>
    <mergeCell ref="H1:U1"/>
    <mergeCell ref="H5:U5"/>
    <mergeCell ref="I2:T3"/>
    <mergeCell ref="E3:F3"/>
    <mergeCell ref="A1:F1"/>
    <mergeCell ref="A199:A203"/>
    <mergeCell ref="A150:A153"/>
    <mergeCell ref="A155:A158"/>
    <mergeCell ref="A77:A81"/>
    <mergeCell ref="A83:A94"/>
    <mergeCell ref="A96:A104"/>
    <mergeCell ref="A112:A119"/>
    <mergeCell ref="A121:A124"/>
    <mergeCell ref="A106:A110"/>
    <mergeCell ref="A140:A143"/>
    <mergeCell ref="A145:A148"/>
    <mergeCell ref="A126:A138"/>
    <mergeCell ref="A3:C3"/>
    <mergeCell ref="A42:A75"/>
    <mergeCell ref="A10:A17"/>
    <mergeCell ref="A19:A24"/>
    <mergeCell ref="A26:A34"/>
    <mergeCell ref="A404:A423"/>
    <mergeCell ref="A249:A252"/>
    <mergeCell ref="A224:A227"/>
    <mergeCell ref="A368:A372"/>
    <mergeCell ref="A363:A366"/>
    <mergeCell ref="A462:A465"/>
    <mergeCell ref="A452:A455"/>
    <mergeCell ref="A426:A427"/>
    <mergeCell ref="A442:A450"/>
    <mergeCell ref="A457:A460"/>
    <mergeCell ref="A399:A402"/>
    <mergeCell ref="A379:A382"/>
    <mergeCell ref="A310:A313"/>
    <mergeCell ref="A315:A318"/>
    <mergeCell ref="A320:A323"/>
    <mergeCell ref="A384:A387"/>
    <mergeCell ref="A389:A392"/>
    <mergeCell ref="A394:A397"/>
    <mergeCell ref="A432:A436"/>
    <mergeCell ref="A374:A377"/>
    <mergeCell ref="A345:A361"/>
    <mergeCell ref="A300:A303"/>
    <mergeCell ref="A269:A278"/>
    <mergeCell ref="A285:A288"/>
    <mergeCell ref="A165:A168"/>
    <mergeCell ref="A170:A173"/>
    <mergeCell ref="A160:A163"/>
    <mergeCell ref="A229:A231"/>
    <mergeCell ref="A212:A222"/>
    <mergeCell ref="A186:A197"/>
    <mergeCell ref="A326:A328"/>
    <mergeCell ref="A335:A338"/>
    <mergeCell ref="A340:A343"/>
    <mergeCell ref="A331:A333"/>
    <mergeCell ref="A305:A308"/>
    <mergeCell ref="A280:A283"/>
    <mergeCell ref="A244:A247"/>
    <mergeCell ref="A239:A242"/>
    <mergeCell ref="A254:A257"/>
    <mergeCell ref="A236:A237"/>
    <mergeCell ref="A175:A178"/>
    <mergeCell ref="A205:A210"/>
    <mergeCell ref="A180:A184"/>
    <mergeCell ref="A233:A234"/>
    <mergeCell ref="A259:A262"/>
    <mergeCell ref="A264:A267"/>
    <mergeCell ref="A295:A298"/>
    <mergeCell ref="A290:A293"/>
    <mergeCell ref="A557:A560"/>
    <mergeCell ref="C580:E580"/>
    <mergeCell ref="A502:A505"/>
    <mergeCell ref="C593:D593"/>
    <mergeCell ref="C588:D588"/>
    <mergeCell ref="C586:D586"/>
    <mergeCell ref="C587:D587"/>
    <mergeCell ref="C591:D591"/>
    <mergeCell ref="C592:D592"/>
    <mergeCell ref="C590:D590"/>
    <mergeCell ref="C589:D589"/>
    <mergeCell ref="A585:B585"/>
    <mergeCell ref="C579:E579"/>
    <mergeCell ref="A562:A565"/>
    <mergeCell ref="A567:A570"/>
    <mergeCell ref="D452:E454"/>
    <mergeCell ref="D455:E455"/>
    <mergeCell ref="C582:E582"/>
    <mergeCell ref="C578:E578"/>
    <mergeCell ref="C577:E577"/>
    <mergeCell ref="C585:D585"/>
    <mergeCell ref="C581:E581"/>
    <mergeCell ref="A497:A500"/>
    <mergeCell ref="A477:A480"/>
    <mergeCell ref="A482:A485"/>
    <mergeCell ref="A487:A490"/>
    <mergeCell ref="A492:A495"/>
    <mergeCell ref="A527:A530"/>
    <mergeCell ref="A472:A475"/>
    <mergeCell ref="A467:A470"/>
    <mergeCell ref="A532:A535"/>
    <mergeCell ref="A537:A540"/>
    <mergeCell ref="A547:A550"/>
    <mergeCell ref="A542:A545"/>
    <mergeCell ref="A507:A510"/>
    <mergeCell ref="A512:A515"/>
    <mergeCell ref="A517:A520"/>
    <mergeCell ref="A522:A525"/>
    <mergeCell ref="A552:A555"/>
  </mergeCells>
  <phoneticPr fontId="0" type="noConversion"/>
  <conditionalFormatting sqref="U26:U34 U19:U24 U10:U17 U36:U40 U42:U75 U77:U81 U83:U94 U96:U104 U106:U110 U112:U119 U121:U124 U126:U138 U140:U143 U145:U148 U150:U153 U155:U158 U160:U163 U165:U168 U170:U173 U175:U178 U180:U184 U186:U197 U199:U203 U205:U210 U212:U222 U224:U227 U229:U231 U233:U234 U236:U237 U239:U242 U244:U247 U249:U252 U254:U257 U259:U262 U264:U267 U269:U278 U280:U283 U285:U288 U290:U293 U295:U298 U300:U303 U305:U308 U325:U328 U330:U333 U335:U338 U340:U343 U345:U361 U363:U366 U368:U372 U374:U377 U379:U382 U399:U402 U404:U410 U425:U427 U429 U431:U436 U438:U439 U441:U450 U457:U460 U462:U465 U467:U470 U472:U475 U477:U480 U482:U485 U487:U490 U492:U495 U497:U500 U502:U505 U507:U510 U512:U515 U517:U520 U522:U525 U527:U530 U552:U555 U557:U560 U562:U565 U567:U570 U422:U423">
    <cfRule type="cellIs" dxfId="133" priority="162" stopIfTrue="1" operator="notEqual">
      <formula>ROUND(SUM($I10:$T10),0)</formula>
    </cfRule>
  </conditionalFormatting>
  <conditionalFormatting sqref="E10:E17 E19:E24 E26:E34 E36:E40 E42:E75 E77:E81 E83:E94 E96:E104 E106:E110 E112:E119 E140:E148 E121:E138 E456:E461 E150:E309 E325:E383 E399:E451">
    <cfRule type="cellIs" dxfId="132" priority="163" stopIfTrue="1" operator="lessThan">
      <formula>0</formula>
    </cfRule>
  </conditionalFormatting>
  <conditionalFormatting sqref="D3">
    <cfRule type="cellIs" dxfId="131" priority="164" stopIfTrue="1" operator="equal">
      <formula>"Warning! Deficit Budget Set  "</formula>
    </cfRule>
  </conditionalFormatting>
  <conditionalFormatting sqref="E3:F3">
    <cfRule type="cellIs" dxfId="130" priority="165" stopIfTrue="1" operator="lessThan">
      <formula>0</formula>
    </cfRule>
  </conditionalFormatting>
  <conditionalFormatting sqref="W456:W531 W10:W309 W325:W383 W552:W571 W399:W451">
    <cfRule type="cellIs" dxfId="129" priority="166" stopIfTrue="1" operator="equal">
      <formula>0</formula>
    </cfRule>
  </conditionalFormatting>
  <conditionalFormatting sqref="A140:A143">
    <cfRule type="expression" dxfId="128" priority="161" stopIfTrue="1">
      <formula>AND(A140="Staffing: Add Cost Centre Description Here",F143&lt;&gt;0)</formula>
    </cfRule>
  </conditionalFormatting>
  <conditionalFormatting sqref="A175:A178">
    <cfRule type="expression" dxfId="127" priority="154" stopIfTrue="1">
      <formula>AND(A175="Staffing: Add Cost Centre Description Here",F178&lt;&gt;0)</formula>
    </cfRule>
  </conditionalFormatting>
  <conditionalFormatting sqref="A170:A173">
    <cfRule type="expression" dxfId="126" priority="155" stopIfTrue="1">
      <formula>AND(A170="Staffing: Add Cost Centre Description Here",F173&lt;&gt;0)</formula>
    </cfRule>
  </conditionalFormatting>
  <conditionalFormatting sqref="A155:A158">
    <cfRule type="expression" dxfId="125" priority="158" stopIfTrue="1">
      <formula>AND(A155="Staffing: Add Cost Centre Description Here",F158&lt;&gt;0)</formula>
    </cfRule>
  </conditionalFormatting>
  <conditionalFormatting sqref="A160:A163">
    <cfRule type="expression" dxfId="124" priority="157" stopIfTrue="1">
      <formula>AND(A160="Staffing: Add Cost Centre Description Here",F163&lt;&gt;0)</formula>
    </cfRule>
  </conditionalFormatting>
  <conditionalFormatting sqref="A165:A168">
    <cfRule type="expression" dxfId="123" priority="156" stopIfTrue="1">
      <formula>AND(A165="Staffing: Add Cost Centre Description Here",F168&lt;&gt;0)</formula>
    </cfRule>
  </conditionalFormatting>
  <conditionalFormatting sqref="A239:A242 A399:A400">
    <cfRule type="expression" dxfId="122" priority="146" stopIfTrue="1">
      <formula>AND(A239="Add Cost Centre Description Here",F242&lt;&gt;0)</formula>
    </cfRule>
  </conditionalFormatting>
  <conditionalFormatting sqref="A285:A288">
    <cfRule type="expression" dxfId="121" priority="140" stopIfTrue="1">
      <formula>AND(A285="Add Cost Centre Description Here",F288&lt;&gt;0)</formula>
    </cfRule>
  </conditionalFormatting>
  <conditionalFormatting sqref="A335:A338">
    <cfRule type="expression" dxfId="120" priority="135" stopIfTrue="1">
      <formula>AND(A335="Add Cost Centre Description Here",F338&lt;&gt;0)</formula>
    </cfRule>
  </conditionalFormatting>
  <conditionalFormatting sqref="A374:A377">
    <cfRule type="expression" dxfId="119" priority="131" stopIfTrue="1">
      <formula>AND(A374="Add Cost Centre Description Here",F377&lt;&gt;0)</formula>
    </cfRule>
  </conditionalFormatting>
  <conditionalFormatting sqref="A452">
    <cfRule type="expression" dxfId="118" priority="125" stopIfTrue="1">
      <formula>AND(A452="Add Cost Centre Description Here",F455&lt;&gt;0)</formula>
    </cfRule>
  </conditionalFormatting>
  <conditionalFormatting sqref="A457:A460">
    <cfRule type="expression" dxfId="117" priority="124" stopIfTrue="1">
      <formula>AND(A457="Add Cost Centre Description Here",F460&lt;&gt;0)</formula>
    </cfRule>
  </conditionalFormatting>
  <conditionalFormatting sqref="A310:A313">
    <cfRule type="expression" dxfId="116" priority="79" stopIfTrue="1">
      <formula>AND(A310="Add Cost Centre Description Here",F313&lt;&gt;0)</formula>
    </cfRule>
  </conditionalFormatting>
  <conditionalFormatting sqref="A305:A308">
    <cfRule type="expression" dxfId="115" priority="80" stopIfTrue="1">
      <formula>AND(A305="Add Cost Centre Description Here",F308&lt;&gt;0)</formula>
    </cfRule>
  </conditionalFormatting>
  <conditionalFormatting sqref="A300:A303">
    <cfRule type="expression" dxfId="114" priority="81" stopIfTrue="1">
      <formula>AND(A300="Add Cost Centre Description Here",F303&lt;&gt;0)</formula>
    </cfRule>
  </conditionalFormatting>
  <conditionalFormatting sqref="A295:A298">
    <cfRule type="expression" dxfId="113" priority="82" stopIfTrue="1">
      <formula>AND(A295="Add Cost Centre Description Here",F298&lt;&gt;0)</formula>
    </cfRule>
  </conditionalFormatting>
  <conditionalFormatting sqref="A290:A293">
    <cfRule type="expression" dxfId="112" priority="83" stopIfTrue="1">
      <formula>AND(A290="Add Cost Centre Description Here",F293&lt;&gt;0)</formula>
    </cfRule>
  </conditionalFormatting>
  <conditionalFormatting sqref="A580:A582">
    <cfRule type="expression" dxfId="111" priority="104" stopIfTrue="1">
      <formula>AND(A580="Other (please enter description)",F580&lt;&gt;0)</formula>
    </cfRule>
  </conditionalFormatting>
  <conditionalFormatting sqref="A586:A593">
    <cfRule type="expression" dxfId="110" priority="103" stopIfTrue="1">
      <formula>AND(A586="Other (please enter description)",F586&lt;&gt;0)</formula>
    </cfRule>
  </conditionalFormatting>
  <conditionalFormatting sqref="A579">
    <cfRule type="expression" dxfId="109" priority="96" stopIfTrue="1">
      <formula>AND(A579="Other (please enter description)",F579&lt;&gt;0)</formula>
    </cfRule>
  </conditionalFormatting>
  <conditionalFormatting sqref="A145:A148">
    <cfRule type="expression" dxfId="108" priority="95" stopIfTrue="1">
      <formula>AND(A145="Staffing: Add Cost Centre Description Here",F148&lt;&gt;0)</formula>
    </cfRule>
  </conditionalFormatting>
  <conditionalFormatting sqref="A150:A153">
    <cfRule type="expression" dxfId="107" priority="94" stopIfTrue="1">
      <formula>AND(A150="Staffing: Add Cost Centre Description Here",F153&lt;&gt;0)</formula>
    </cfRule>
  </conditionalFormatting>
  <conditionalFormatting sqref="A320:A323">
    <cfRule type="expression" dxfId="106" priority="77" stopIfTrue="1">
      <formula>AND(A320="Add Cost Centre Description Here",F323&lt;&gt;0)</formula>
    </cfRule>
  </conditionalFormatting>
  <conditionalFormatting sqref="U310:U313 U315:U318 U320:U323">
    <cfRule type="cellIs" dxfId="105" priority="87" stopIfTrue="1" operator="notEqual">
      <formula>ROUND(SUM($I310:$T310),0)</formula>
    </cfRule>
  </conditionalFormatting>
  <conditionalFormatting sqref="E310:E324">
    <cfRule type="cellIs" dxfId="104" priority="88" stopIfTrue="1" operator="lessThan">
      <formula>0</formula>
    </cfRule>
  </conditionalFormatting>
  <conditionalFormatting sqref="W310:W324">
    <cfRule type="cellIs" dxfId="103" priority="89" stopIfTrue="1" operator="equal">
      <formula>0</formula>
    </cfRule>
  </conditionalFormatting>
  <conditionalFormatting sqref="A315:A318">
    <cfRule type="expression" dxfId="102" priority="78" stopIfTrue="1">
      <formula>AND(A315="Add Cost Centre Description Here",F318&lt;&gt;0)</formula>
    </cfRule>
  </conditionalFormatting>
  <conditionalFormatting sqref="A244:A247">
    <cfRule type="expression" dxfId="101" priority="76" stopIfTrue="1">
      <formula>AND(A244="Add Cost Centre Description Here",F247&lt;&gt;0)</formula>
    </cfRule>
  </conditionalFormatting>
  <conditionalFormatting sqref="A249:A252">
    <cfRule type="expression" dxfId="100" priority="75" stopIfTrue="1">
      <formula>AND(A249="Add Cost Centre Description Here",F252&lt;&gt;0)</formula>
    </cfRule>
  </conditionalFormatting>
  <conditionalFormatting sqref="A254:A257">
    <cfRule type="expression" dxfId="99" priority="74" stopIfTrue="1">
      <formula>AND(A254="Add Cost Centre Description Here",F257&lt;&gt;0)</formula>
    </cfRule>
  </conditionalFormatting>
  <conditionalFormatting sqref="A259:A262">
    <cfRule type="expression" dxfId="98" priority="73" stopIfTrue="1">
      <formula>AND(A259="Add Cost Centre Description Here",F262&lt;&gt;0)</formula>
    </cfRule>
  </conditionalFormatting>
  <conditionalFormatting sqref="A264:A267">
    <cfRule type="expression" dxfId="97" priority="72" stopIfTrue="1">
      <formula>AND(A264="Add Cost Centre Description Here",F267&lt;&gt;0)</formula>
    </cfRule>
  </conditionalFormatting>
  <conditionalFormatting sqref="A340:A343">
    <cfRule type="expression" dxfId="96" priority="71" stopIfTrue="1">
      <formula>AND(A340="Add Cost Centre Description Here",F343&lt;&gt;0)</formula>
    </cfRule>
  </conditionalFormatting>
  <conditionalFormatting sqref="U384:U387 U389:U392 U394:U397">
    <cfRule type="cellIs" dxfId="95" priority="68" stopIfTrue="1" operator="notEqual">
      <formula>ROUND(SUM($I384:$T384),0)</formula>
    </cfRule>
  </conditionalFormatting>
  <conditionalFormatting sqref="E384:E398">
    <cfRule type="cellIs" dxfId="94" priority="69" stopIfTrue="1" operator="lessThan">
      <formula>0</formula>
    </cfRule>
  </conditionalFormatting>
  <conditionalFormatting sqref="W384:W398">
    <cfRule type="cellIs" dxfId="93" priority="70" stopIfTrue="1" operator="equal">
      <formula>0</formula>
    </cfRule>
  </conditionalFormatting>
  <conditionalFormatting sqref="A379:A382">
    <cfRule type="expression" dxfId="92" priority="64" stopIfTrue="1">
      <formula>AND(A379="Add Cost Centre Description Here",F382&lt;&gt;0)</formula>
    </cfRule>
  </conditionalFormatting>
  <conditionalFormatting sqref="A384:A387">
    <cfRule type="expression" dxfId="91" priority="63" stopIfTrue="1">
      <formula>AND(A384="Add Cost Centre Description Here",F387&lt;&gt;0)</formula>
    </cfRule>
  </conditionalFormatting>
  <conditionalFormatting sqref="A389:A392">
    <cfRule type="expression" dxfId="90" priority="62" stopIfTrue="1">
      <formula>AND(A389="Add Cost Centre Description Here",F392&lt;&gt;0)</formula>
    </cfRule>
  </conditionalFormatting>
  <conditionalFormatting sqref="A394:A397">
    <cfRule type="expression" dxfId="89" priority="61" stopIfTrue="1">
      <formula>AND(A394="Add Cost Centre Description Here",F397&lt;&gt;0)</formula>
    </cfRule>
  </conditionalFormatting>
  <conditionalFormatting sqref="A401:A402">
    <cfRule type="expression" dxfId="88" priority="172" stopIfTrue="1">
      <formula>AND(A401="Add Cost Centre Description Here",#REF!&lt;&gt;0)</formula>
    </cfRule>
  </conditionalFormatting>
  <conditionalFormatting sqref="U532:U535 U537:U540 U547:U550">
    <cfRule type="cellIs" dxfId="87" priority="54" stopIfTrue="1" operator="notEqual">
      <formula>ROUND(SUM($I532:$T532),0)</formula>
    </cfRule>
  </conditionalFormatting>
  <conditionalFormatting sqref="E462:E466">
    <cfRule type="cellIs" dxfId="86" priority="45" stopIfTrue="1" operator="lessThan">
      <formula>0</formula>
    </cfRule>
  </conditionalFormatting>
  <conditionalFormatting sqref="W532:W541 W547:W551">
    <cfRule type="cellIs" dxfId="85" priority="56" stopIfTrue="1" operator="equal">
      <formula>0</formula>
    </cfRule>
  </conditionalFormatting>
  <conditionalFormatting sqref="U542:U545">
    <cfRule type="cellIs" dxfId="84" priority="46" stopIfTrue="1" operator="notEqual">
      <formula>ROUND(SUM($I542:$T542),0)</formula>
    </cfRule>
  </conditionalFormatting>
  <conditionalFormatting sqref="E487:E491">
    <cfRule type="cellIs" dxfId="83" priority="35" stopIfTrue="1" operator="lessThan">
      <formula>0</formula>
    </cfRule>
  </conditionalFormatting>
  <conditionalFormatting sqref="W542:W546">
    <cfRule type="cellIs" dxfId="82" priority="48" stopIfTrue="1" operator="equal">
      <formula>0</formula>
    </cfRule>
  </conditionalFormatting>
  <conditionalFormatting sqref="A462:A465">
    <cfRule type="expression" dxfId="81" priority="44" stopIfTrue="1">
      <formula>AND(A462="Add Cost Centre Description Here",F465&lt;&gt;0)</formula>
    </cfRule>
  </conditionalFormatting>
  <conditionalFormatting sqref="E467:E471">
    <cfRule type="cellIs" dxfId="80" priority="43" stopIfTrue="1" operator="lessThan">
      <formula>0</formula>
    </cfRule>
  </conditionalFormatting>
  <conditionalFormatting sqref="A467:A470">
    <cfRule type="expression" dxfId="79" priority="42" stopIfTrue="1">
      <formula>AND(A467="Add Cost Centre Description Here",F470&lt;&gt;0)</formula>
    </cfRule>
  </conditionalFormatting>
  <conditionalFormatting sqref="E472:E476">
    <cfRule type="cellIs" dxfId="78" priority="41" stopIfTrue="1" operator="lessThan">
      <formula>0</formula>
    </cfRule>
  </conditionalFormatting>
  <conditionalFormatting sqref="A472:A475">
    <cfRule type="expression" dxfId="77" priority="40" stopIfTrue="1">
      <formula>AND(A472="Add Cost Centre Description Here",F475&lt;&gt;0)</formula>
    </cfRule>
  </conditionalFormatting>
  <conditionalFormatting sqref="E477:E481">
    <cfRule type="cellIs" dxfId="76" priority="39" stopIfTrue="1" operator="lessThan">
      <formula>0</formula>
    </cfRule>
  </conditionalFormatting>
  <conditionalFormatting sqref="A477:A480">
    <cfRule type="expression" dxfId="75" priority="38" stopIfTrue="1">
      <formula>AND(A477="Add Cost Centre Description Here",F480&lt;&gt;0)</formula>
    </cfRule>
  </conditionalFormatting>
  <conditionalFormatting sqref="E482:E486">
    <cfRule type="cellIs" dxfId="74" priority="37" stopIfTrue="1" operator="lessThan">
      <formula>0</formula>
    </cfRule>
  </conditionalFormatting>
  <conditionalFormatting sqref="A482:A485">
    <cfRule type="expression" dxfId="73" priority="36" stopIfTrue="1">
      <formula>AND(A482="Add Cost Centre Description Here",F485&lt;&gt;0)</formula>
    </cfRule>
  </conditionalFormatting>
  <conditionalFormatting sqref="A487:A490">
    <cfRule type="expression" dxfId="72" priority="34" stopIfTrue="1">
      <formula>AND(A487="Add Cost Centre Description Here",F490&lt;&gt;0)</formula>
    </cfRule>
  </conditionalFormatting>
  <conditionalFormatting sqref="E492:E496">
    <cfRule type="cellIs" dxfId="71" priority="33" stopIfTrue="1" operator="lessThan">
      <formula>0</formula>
    </cfRule>
  </conditionalFormatting>
  <conditionalFormatting sqref="A492:A495">
    <cfRule type="expression" dxfId="70" priority="32" stopIfTrue="1">
      <formula>AND(A492="Add Cost Centre Description Here",F495&lt;&gt;0)</formula>
    </cfRule>
  </conditionalFormatting>
  <conditionalFormatting sqref="E497:E501">
    <cfRule type="cellIs" dxfId="69" priority="31" stopIfTrue="1" operator="lessThan">
      <formula>0</formula>
    </cfRule>
  </conditionalFormatting>
  <conditionalFormatting sqref="A497:A500">
    <cfRule type="expression" dxfId="68" priority="30" stopIfTrue="1">
      <formula>AND(A497="Add Cost Centre Description Here",F500&lt;&gt;0)</formula>
    </cfRule>
  </conditionalFormatting>
  <conditionalFormatting sqref="E502:E506">
    <cfRule type="cellIs" dxfId="67" priority="29" stopIfTrue="1" operator="lessThan">
      <formula>0</formula>
    </cfRule>
  </conditionalFormatting>
  <conditionalFormatting sqref="A502:A505">
    <cfRule type="expression" dxfId="66" priority="28" stopIfTrue="1">
      <formula>AND(A502="Add Cost Centre Description Here",F505&lt;&gt;0)</formula>
    </cfRule>
  </conditionalFormatting>
  <conditionalFormatting sqref="E507:E511">
    <cfRule type="cellIs" dxfId="65" priority="27" stopIfTrue="1" operator="lessThan">
      <formula>0</formula>
    </cfRule>
  </conditionalFormatting>
  <conditionalFormatting sqref="A507:A510">
    <cfRule type="expression" dxfId="64" priority="26" stopIfTrue="1">
      <formula>AND(A507="Add Cost Centre Description Here",F510&lt;&gt;0)</formula>
    </cfRule>
  </conditionalFormatting>
  <conditionalFormatting sqref="E512:E516">
    <cfRule type="cellIs" dxfId="63" priority="25" stopIfTrue="1" operator="lessThan">
      <formula>0</formula>
    </cfRule>
  </conditionalFormatting>
  <conditionalFormatting sqref="A512:A515">
    <cfRule type="expression" dxfId="62" priority="24" stopIfTrue="1">
      <formula>AND(A512="Add Cost Centre Description Here",F515&lt;&gt;0)</formula>
    </cfRule>
  </conditionalFormatting>
  <conditionalFormatting sqref="E517:E521">
    <cfRule type="cellIs" dxfId="61" priority="23" stopIfTrue="1" operator="lessThan">
      <formula>0</formula>
    </cfRule>
  </conditionalFormatting>
  <conditionalFormatting sqref="A517:A520">
    <cfRule type="expression" dxfId="60" priority="22" stopIfTrue="1">
      <formula>AND(A517="Add Cost Centre Description Here",F520&lt;&gt;0)</formula>
    </cfRule>
  </conditionalFormatting>
  <conditionalFormatting sqref="E522:E526">
    <cfRule type="cellIs" dxfId="59" priority="21" stopIfTrue="1" operator="lessThan">
      <formula>0</formula>
    </cfRule>
  </conditionalFormatting>
  <conditionalFormatting sqref="A522:A525">
    <cfRule type="expression" dxfId="58" priority="20" stopIfTrue="1">
      <formula>AND(A522="Add Cost Centre Description Here",F525&lt;&gt;0)</formula>
    </cfRule>
  </conditionalFormatting>
  <conditionalFormatting sqref="E527:E531">
    <cfRule type="cellIs" dxfId="57" priority="19" stopIfTrue="1" operator="lessThan">
      <formula>0</formula>
    </cfRule>
  </conditionalFormatting>
  <conditionalFormatting sqref="A527:A530">
    <cfRule type="expression" dxfId="56" priority="18" stopIfTrue="1">
      <formula>AND(A527="Add Cost Centre Description Here",F530&lt;&gt;0)</formula>
    </cfRule>
  </conditionalFormatting>
  <conditionalFormatting sqref="E532:E536">
    <cfRule type="cellIs" dxfId="55" priority="17" stopIfTrue="1" operator="lessThan">
      <formula>0</formula>
    </cfRule>
  </conditionalFormatting>
  <conditionalFormatting sqref="A532:A535">
    <cfRule type="expression" dxfId="54" priority="16" stopIfTrue="1">
      <formula>AND(A532="Add Cost Centre Description Here",F535&lt;&gt;0)</formula>
    </cfRule>
  </conditionalFormatting>
  <conditionalFormatting sqref="E537:E541">
    <cfRule type="cellIs" dxfId="53" priority="15" stopIfTrue="1" operator="lessThan">
      <formula>0</formula>
    </cfRule>
  </conditionalFormatting>
  <conditionalFormatting sqref="A537:A540">
    <cfRule type="expression" dxfId="52" priority="14" stopIfTrue="1">
      <formula>AND(A537="Add Cost Centre Description Here",F540&lt;&gt;0)</formula>
    </cfRule>
  </conditionalFormatting>
  <conditionalFormatting sqref="E542:E546">
    <cfRule type="cellIs" dxfId="51" priority="13" stopIfTrue="1" operator="lessThan">
      <formula>0</formula>
    </cfRule>
  </conditionalFormatting>
  <conditionalFormatting sqref="A542:A545">
    <cfRule type="expression" dxfId="50" priority="12" stopIfTrue="1">
      <formula>AND(A542="Add Cost Centre Description Here",F545&lt;&gt;0)</formula>
    </cfRule>
  </conditionalFormatting>
  <conditionalFormatting sqref="E547:E551">
    <cfRule type="cellIs" dxfId="49" priority="11" stopIfTrue="1" operator="lessThan">
      <formula>0</formula>
    </cfRule>
  </conditionalFormatting>
  <conditionalFormatting sqref="A547:A550">
    <cfRule type="expression" dxfId="48" priority="10" stopIfTrue="1">
      <formula>AND(A547="Add Cost Centre Description Here",F550&lt;&gt;0)</formula>
    </cfRule>
  </conditionalFormatting>
  <conditionalFormatting sqref="E552:E556">
    <cfRule type="cellIs" dxfId="47" priority="9" stopIfTrue="1" operator="lessThan">
      <formula>0</formula>
    </cfRule>
  </conditionalFormatting>
  <conditionalFormatting sqref="A552:A555">
    <cfRule type="expression" dxfId="46" priority="8" stopIfTrue="1">
      <formula>AND(A552="Add Cost Centre Description Here",F555&lt;&gt;0)</formula>
    </cfRule>
  </conditionalFormatting>
  <conditionalFormatting sqref="E557:E561">
    <cfRule type="cellIs" dxfId="45" priority="7" stopIfTrue="1" operator="lessThan">
      <formula>0</formula>
    </cfRule>
  </conditionalFormatting>
  <conditionalFormatting sqref="A557:A560">
    <cfRule type="expression" dxfId="44" priority="6" stopIfTrue="1">
      <formula>AND(A557="Add Cost Centre Description Here",F560&lt;&gt;0)</formula>
    </cfRule>
  </conditionalFormatting>
  <conditionalFormatting sqref="E562:E566">
    <cfRule type="cellIs" dxfId="43" priority="5" stopIfTrue="1" operator="lessThan">
      <formula>0</formula>
    </cfRule>
  </conditionalFormatting>
  <conditionalFormatting sqref="A562:A565">
    <cfRule type="expression" dxfId="42" priority="4" stopIfTrue="1">
      <formula>AND(A562="Add Cost Centre Description Here",F565&lt;&gt;0)</formula>
    </cfRule>
  </conditionalFormatting>
  <conditionalFormatting sqref="E567:E571">
    <cfRule type="cellIs" dxfId="41" priority="3" stopIfTrue="1" operator="lessThan">
      <formula>0</formula>
    </cfRule>
  </conditionalFormatting>
  <conditionalFormatting sqref="A567:A570">
    <cfRule type="expression" dxfId="40" priority="2" stopIfTrue="1">
      <formula>AND(A567="Add Cost Centre Description Here",F570&lt;&gt;0)</formula>
    </cfRule>
  </conditionalFormatting>
  <conditionalFormatting sqref="U411:U421">
    <cfRule type="cellIs" dxfId="39" priority="1" stopIfTrue="1" operator="notEqual">
      <formula>ROUND(SUM($I411:$T411),0)</formula>
    </cfRule>
  </conditionalFormatting>
  <dataValidations xWindow="495" yWindow="376" count="2">
    <dataValidation type="whole" allowBlank="1" showInputMessage="1" showErrorMessage="1" error="Please enter figure as a positive number to the nearest whole pound" sqref="F578:F582 F586:F593">
      <formula1>0</formula1>
      <formula2>1000000000</formula2>
    </dataValidation>
    <dataValidation type="list" allowBlank="1" showInputMessage="1" showErrorMessage="1" prompt="Pick profile from drop down list" sqref="H42:H75 H502:H505 H507:H510 H512:H515 H517:H520 H522:H525 H527:H530 H552:H555 H557:H560 H562:H565 H567:H570 H36:H40 H26:H34 H19:H24 H10:H17 H77:H81 H83:H94 H96:H104 H106:H110 H112:H119 H121:H124 H126:H138 H140:H143 H145:H148 H150:H153 H155:H158 H160:H163 H165:H168 H170:H173 H175:H178 H180:H184 H186:H197 H199:H203 H205:H210 H212:H222 H224:H227 H229:H231 H233:H234 H236:H237 H239:H242 H244:H247 H249:H252 H254:H257 H259:H262 H264:H267 H269:H278 H280:H283 H285:H288 H290:H293 H295:H298 H300:H303 H305:H308 H325:H328 H330:H333 H335:H338 H340:H343 H345:H361 H363:H366 H368:H372 H374:H377 H379:H382 H399:H402 H542:H545 H425:H427 H429 H431:H436 H438:H439 H441:H450 H497:H500 H457:H460 H462:H465 H467:H470 H472:H475 H477:H480 H482:H485 H487:H490 H492:H495 H310:H313 H315:H318 H320:H323 H384:H387 H389:H392 H394:H397 H532:H535 H537:H540 H547:H550 H404:H423">
      <formula1>profile</formula1>
    </dataValidation>
  </dataValidations>
  <hyperlinks>
    <hyperlink ref="B5:C5" location="' Guidance Notes'!A57" display="Go to Guidance Notes"/>
  </hyperlinks>
  <pageMargins left="0" right="0" top="0.59055118110236227" bottom="0.78740157480314965" header="0.19685039370078741" footer="0.19685039370078741"/>
  <pageSetup paperSize="9" scale="86" fitToHeight="0" orientation="landscape" blackAndWhite="1" r:id="rId1"/>
  <headerFooter alignWithMargins="0">
    <oddHeader xml:space="preserve">&amp;R&amp;F
</oddHeader>
    <oddFooter>&amp;LFormat Prepared by the Schools Finance Team&amp;C&amp;P&amp;RPrinted &amp;T &amp;D</oddFooter>
  </headerFooter>
  <rowBreaks count="16" manualBreakCount="16">
    <brk id="40" max="5" man="1"/>
    <brk id="82" max="5" man="1"/>
    <brk id="120" max="5" man="1"/>
    <brk id="159" max="5" man="1"/>
    <brk id="198" max="5" man="1"/>
    <brk id="232" max="5" man="1"/>
    <brk id="268" max="5" man="1"/>
    <brk id="308" max="5" man="1"/>
    <brk id="344" max="5" man="1"/>
    <brk id="383" max="5" man="1"/>
    <brk id="424" max="5" man="1"/>
    <brk id="461" max="5" man="1"/>
    <brk id="501" max="5" man="1"/>
    <brk id="541" max="5" man="1"/>
    <brk id="574" max="5" man="1"/>
    <brk id="594" max="5" man="1"/>
  </rowBreaks>
  <ignoredErrors>
    <ignoredError sqref="B127:B129 B19:B23 B39:B40 B47:B48 B10:B13 B77:B81 B74:B75 B96:B103 B107:B108 B130:B132 B113:B114 B104 B42 B93:B95 B57 B53:B54 B50 B45:B46 B49 B55:B56 B51:B52 B43:B44 B36 B26 B33:B34 B29:B30 B27:B28 B31:B32 B37:B38 B83:B92 B106 B109:B110 B112 B115:B119" numberStoredAsText="1"/>
    <ignoredError sqref="D3" evalError="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Z50"/>
  <sheetViews>
    <sheetView topLeftCell="A10" zoomScaleNormal="100" workbookViewId="0">
      <selection activeCell="H13" sqref="H13:H14"/>
    </sheetView>
  </sheetViews>
  <sheetFormatPr defaultColWidth="9.140625" defaultRowHeight="12.75" x14ac:dyDescent="0.2"/>
  <cols>
    <col min="1" max="2" width="1.7109375" style="1" customWidth="1"/>
    <col min="3" max="5" width="9.140625" style="1"/>
    <col min="6" max="6" width="31.28515625" style="1" customWidth="1"/>
    <col min="7" max="7" width="3.7109375" style="1" customWidth="1"/>
    <col min="8" max="8" width="14.7109375" style="1" customWidth="1"/>
    <col min="9" max="10" width="1.7109375" style="1" customWidth="1"/>
    <col min="11" max="11" width="20" style="1" bestFit="1" customWidth="1"/>
    <col min="12" max="24" width="11.85546875" style="1" customWidth="1"/>
    <col min="25" max="25" width="2.28515625" style="1" hidden="1" customWidth="1"/>
    <col min="26" max="26" width="17.7109375" style="1" customWidth="1"/>
    <col min="27" max="16384" width="9.140625" style="1"/>
  </cols>
  <sheetData>
    <row r="1" spans="1:26" ht="16.5" thickBot="1" x14ac:dyDescent="0.3">
      <c r="A1" s="1135" t="str">
        <f>Summary!A1</f>
        <v>Matching Green CE P</v>
      </c>
      <c r="B1" s="1136"/>
      <c r="C1" s="1136"/>
      <c r="D1" s="1136"/>
      <c r="E1" s="1136"/>
      <c r="F1" s="1136"/>
      <c r="G1" s="1136"/>
      <c r="H1" s="1136"/>
      <c r="I1" s="1136"/>
      <c r="J1" s="1137"/>
    </row>
    <row r="2" spans="1:26" ht="28.5" customHeight="1" x14ac:dyDescent="0.25">
      <c r="C2" s="1151" t="str">
        <f>'Fin.Yr Lookups'!A5&amp;" Budget Plan: Capital Income &amp; Expenditure"</f>
        <v>2020-21 Budget Plan: Capital Income &amp; Expenditure</v>
      </c>
      <c r="D2" s="1151"/>
      <c r="E2" s="1151"/>
      <c r="F2" s="1151"/>
      <c r="G2" s="1151"/>
      <c r="H2" s="1151"/>
      <c r="I2" s="328"/>
      <c r="K2" s="1071" t="s">
        <v>765</v>
      </c>
      <c r="L2" s="1072"/>
      <c r="M2" s="1072"/>
      <c r="N2" s="1072"/>
      <c r="O2" s="1072"/>
      <c r="P2" s="1072"/>
      <c r="Q2" s="1072"/>
      <c r="R2" s="1072"/>
      <c r="S2" s="1072"/>
      <c r="T2" s="1072"/>
      <c r="U2" s="1072"/>
      <c r="V2" s="1072"/>
      <c r="W2" s="1072"/>
      <c r="X2" s="1073"/>
    </row>
    <row r="3" spans="1:26" ht="21" customHeight="1" x14ac:dyDescent="0.2">
      <c r="C3" s="1152" t="s">
        <v>779</v>
      </c>
      <c r="D3" s="1153"/>
      <c r="E3" s="1153"/>
      <c r="F3" s="330"/>
      <c r="K3" s="1146" t="s">
        <v>783</v>
      </c>
      <c r="L3" s="1077"/>
      <c r="M3" s="1077"/>
      <c r="N3" s="1077"/>
      <c r="O3" s="1077"/>
      <c r="P3" s="1077"/>
      <c r="Q3" s="1077"/>
      <c r="R3" s="1077"/>
      <c r="S3" s="1077"/>
      <c r="T3" s="1077"/>
      <c r="U3" s="1077"/>
      <c r="V3" s="1077"/>
      <c r="W3" s="1077"/>
      <c r="X3" s="1147"/>
    </row>
    <row r="4" spans="1:26" ht="6" customHeight="1" x14ac:dyDescent="0.2">
      <c r="B4" s="340"/>
      <c r="C4" s="1154" t="str">
        <f>"Formula Capital Funding currently held by the Local Authority (LA), including unclaimed amounts from previous years, that is available to be claimed in "&amp;'Fin.Yr Lookups'!A5</f>
        <v>Formula Capital Funding currently held by the Local Authority (LA), including unclaimed amounts from previous years, that is available to be claimed in 2020-21</v>
      </c>
      <c r="D4" s="1155"/>
      <c r="E4" s="1155"/>
      <c r="F4" s="1155"/>
      <c r="G4" s="1155"/>
      <c r="H4" s="331"/>
      <c r="I4" s="341"/>
      <c r="K4" s="1146"/>
      <c r="L4" s="1077"/>
      <c r="M4" s="1077"/>
      <c r="N4" s="1077"/>
      <c r="O4" s="1077"/>
      <c r="P4" s="1077"/>
      <c r="Q4" s="1077"/>
      <c r="R4" s="1077"/>
      <c r="S4" s="1077"/>
      <c r="T4" s="1077"/>
      <c r="U4" s="1077"/>
      <c r="V4" s="1077"/>
      <c r="W4" s="1077"/>
      <c r="X4" s="1147"/>
    </row>
    <row r="5" spans="1:26" ht="15" customHeight="1" x14ac:dyDescent="0.2">
      <c r="B5" s="342"/>
      <c r="C5" s="1156"/>
      <c r="D5" s="1156"/>
      <c r="E5" s="1156"/>
      <c r="F5" s="1156"/>
      <c r="G5" s="1156"/>
      <c r="H5" s="332">
        <v>7851</v>
      </c>
      <c r="I5" s="343"/>
      <c r="K5" s="1146"/>
      <c r="L5" s="1077"/>
      <c r="M5" s="1077"/>
      <c r="N5" s="1077"/>
      <c r="O5" s="1077"/>
      <c r="P5" s="1077"/>
      <c r="Q5" s="1077"/>
      <c r="R5" s="1077"/>
      <c r="S5" s="1077"/>
      <c r="T5" s="1077"/>
      <c r="U5" s="1077"/>
      <c r="V5" s="1077"/>
      <c r="W5" s="1077"/>
      <c r="X5" s="1147"/>
    </row>
    <row r="6" spans="1:26" ht="18" customHeight="1" x14ac:dyDescent="0.2">
      <c r="B6" s="342"/>
      <c r="C6" s="1156"/>
      <c r="D6" s="1156"/>
      <c r="E6" s="1156"/>
      <c r="F6" s="1156"/>
      <c r="G6" s="1156"/>
      <c r="H6" s="11"/>
      <c r="I6" s="344"/>
      <c r="K6" s="1146"/>
      <c r="L6" s="1077"/>
      <c r="M6" s="1077"/>
      <c r="N6" s="1077"/>
      <c r="O6" s="1077"/>
      <c r="P6" s="1077"/>
      <c r="Q6" s="1077"/>
      <c r="R6" s="1077"/>
      <c r="S6" s="1077"/>
      <c r="T6" s="1077"/>
      <c r="U6" s="1077"/>
      <c r="V6" s="1077"/>
      <c r="W6" s="1077"/>
      <c r="X6" s="1147"/>
    </row>
    <row r="7" spans="1:26" ht="15" customHeight="1" x14ac:dyDescent="0.2">
      <c r="B7" s="342"/>
      <c r="C7" s="610" t="str">
        <f>"Formula Capital Funding that will be claimed in "&amp;'Fin.Yr Lookups'!A5</f>
        <v>Formula Capital Funding that will be claimed in 2020-21</v>
      </c>
      <c r="D7" s="11"/>
      <c r="E7" s="11"/>
      <c r="F7" s="11"/>
      <c r="G7" s="11"/>
      <c r="H7" s="332"/>
      <c r="I7" s="343"/>
      <c r="K7" s="1146"/>
      <c r="L7" s="1077"/>
      <c r="M7" s="1077"/>
      <c r="N7" s="1077"/>
      <c r="O7" s="1077"/>
      <c r="P7" s="1077"/>
      <c r="Q7" s="1077"/>
      <c r="R7" s="1077"/>
      <c r="S7" s="1077"/>
      <c r="T7" s="1077"/>
      <c r="U7" s="1077"/>
      <c r="V7" s="1077"/>
      <c r="W7" s="1077"/>
      <c r="X7" s="1147"/>
    </row>
    <row r="8" spans="1:26" ht="9" customHeight="1" x14ac:dyDescent="0.2">
      <c r="B8" s="342"/>
      <c r="C8" s="11"/>
      <c r="D8" s="11"/>
      <c r="E8" s="11"/>
      <c r="F8" s="11"/>
      <c r="G8" s="11"/>
      <c r="H8" s="11"/>
      <c r="I8" s="344"/>
      <c r="K8" s="1146"/>
      <c r="L8" s="1077"/>
      <c r="M8" s="1077"/>
      <c r="N8" s="1077"/>
      <c r="O8" s="1077"/>
      <c r="P8" s="1077"/>
      <c r="Q8" s="1077"/>
      <c r="R8" s="1077"/>
      <c r="S8" s="1077"/>
      <c r="T8" s="1077"/>
      <c r="U8" s="1077"/>
      <c r="V8" s="1077"/>
      <c r="W8" s="1077"/>
      <c r="X8" s="1147"/>
    </row>
    <row r="9" spans="1:26" ht="15" customHeight="1" x14ac:dyDescent="0.2">
      <c r="B9" s="342"/>
      <c r="C9" s="610" t="str">
        <f>"Balance remaining (still to be held by the LA at the end of "&amp;'Fin.Yr Lookups'!A5&amp;")"</f>
        <v>Balance remaining (still to be held by the LA at the end of 2020-21)</v>
      </c>
      <c r="D9" s="11"/>
      <c r="E9" s="11"/>
      <c r="F9" s="11"/>
      <c r="G9" s="11"/>
      <c r="H9" s="333">
        <f>H5-H7</f>
        <v>7851</v>
      </c>
      <c r="I9" s="344"/>
      <c r="K9" s="1146"/>
      <c r="L9" s="1077"/>
      <c r="M9" s="1077"/>
      <c r="N9" s="1077"/>
      <c r="O9" s="1077"/>
      <c r="P9" s="1077"/>
      <c r="Q9" s="1077"/>
      <c r="R9" s="1077"/>
      <c r="S9" s="1077"/>
      <c r="T9" s="1077"/>
      <c r="U9" s="1077"/>
      <c r="V9" s="1077"/>
      <c r="W9" s="1077"/>
      <c r="X9" s="1147"/>
    </row>
    <row r="10" spans="1:26" ht="6" customHeight="1" x14ac:dyDescent="0.2">
      <c r="B10" s="345"/>
      <c r="C10" s="334"/>
      <c r="D10" s="334"/>
      <c r="E10" s="334"/>
      <c r="F10" s="334"/>
      <c r="G10" s="334"/>
      <c r="H10" s="334"/>
      <c r="I10" s="346"/>
      <c r="K10" s="1146"/>
      <c r="L10" s="1077"/>
      <c r="M10" s="1077"/>
      <c r="N10" s="1077"/>
      <c r="O10" s="1077"/>
      <c r="P10" s="1077"/>
      <c r="Q10" s="1077"/>
      <c r="R10" s="1077"/>
      <c r="S10" s="1077"/>
      <c r="T10" s="1077"/>
      <c r="U10" s="1077"/>
      <c r="V10" s="1077"/>
      <c r="W10" s="1077"/>
      <c r="X10" s="1147"/>
    </row>
    <row r="11" spans="1:26" x14ac:dyDescent="0.2">
      <c r="H11" s="59" t="s">
        <v>531</v>
      </c>
      <c r="I11" s="59"/>
      <c r="K11" s="1146"/>
      <c r="L11" s="1077"/>
      <c r="M11" s="1077"/>
      <c r="N11" s="1077"/>
      <c r="O11" s="1077"/>
      <c r="P11" s="1077"/>
      <c r="Q11" s="1077"/>
      <c r="R11" s="1077"/>
      <c r="S11" s="1077"/>
      <c r="T11" s="1077"/>
      <c r="U11" s="1077"/>
      <c r="V11" s="1077"/>
      <c r="W11" s="1077"/>
      <c r="X11" s="1147"/>
    </row>
    <row r="12" spans="1:26" ht="16.5" customHeight="1" x14ac:dyDescent="0.2">
      <c r="H12" s="59"/>
      <c r="I12" s="59"/>
      <c r="K12" s="215" t="s">
        <v>290</v>
      </c>
      <c r="L12" s="289">
        <f>IF($K12="Monthly",$H12/12,IF($K12="Quarterly (From April)",$H12/4,IF($K12="Termly",$H12/3,IF($K12="Monthly (excl. August)",$H12/11,""))))</f>
        <v>0</v>
      </c>
      <c r="M12" s="289">
        <f>IF($K12="Monthly",$H12/12,IF($K12="Quarterly (From April)",0,IF($K12="Termly",0,IF($K12="Monthly (excl. August)",$H12/11,""))))</f>
        <v>0</v>
      </c>
      <c r="N12" s="289">
        <f>IF($K12="Monthly",$H12/12,IF($K12="Quarterly (From April)",0,IF($K12="Termly",0,IF($K12="Monthly (excl. August)",$H12/11,""))))</f>
        <v>0</v>
      </c>
      <c r="O12" s="289">
        <f>IF($K12="Monthly",$H12/12,IF($K12="Quarterly (From April)",$H12/4,IF($K12="Termly",0,IF($K12="Monthly (excl. August)",$H12/11,""))))</f>
        <v>0</v>
      </c>
      <c r="P12" s="289">
        <f>IF($K12="Monthly",$H12/12,IF($K12="Quarterly (From April)",0,IF($K12="Termly",0,IF($K12="Monthly (excl. August)",0,""))))</f>
        <v>0</v>
      </c>
      <c r="Q12" s="289">
        <f>IF($K12="Monthly",$H12/12,IF($K12="Quarterly (From April)",0,IF($K12="Termly",$H12/3,IF($K12="Monthly (excl. August)",$H12/11,""))))</f>
        <v>0</v>
      </c>
      <c r="R12" s="289">
        <f>IF($K12="Monthly",$H12/12,IF($K12="Quarterly (From April)",$H12/4,IF($K12="Termly",0,IF($K12="Monthly (excl. August)",$H12/11,""))))</f>
        <v>0</v>
      </c>
      <c r="S12" s="289">
        <f>IF($K12="Monthly",$H12/12,IF($K12="Quarterly (From April)",0,IF($K12="Termly",0,IF($K12="Monthly (excl. August)",$H12/11,""))))</f>
        <v>0</v>
      </c>
      <c r="T12" s="289">
        <f>IF($K12="Monthly",$H12/12,IF($K12="Quarterly (From April)",0,IF($K12="Termly",0,IF($K12="Monthly (excl. August)",$H12/11,""))))</f>
        <v>0</v>
      </c>
      <c r="U12" s="289">
        <f>IF($K12="Monthly",$H12/12,IF($K12="Quarterly (From April)",$H12/4,IF($K12="Termly",$H12/3,IF($K12="Monthly (excl. August)",$H12/11,""))))</f>
        <v>0</v>
      </c>
      <c r="V12" s="289">
        <f>IF($K12="Monthly",$H12/12,IF($K12="Quarterly (From April)",0,IF($K12="Termly",0,IF($K12="Monthly (excl. August)",$H12/11,""))))</f>
        <v>0</v>
      </c>
      <c r="W12" s="289">
        <f>IF($K12="Monthly",$H12/12,IF($K12="Quarterly (From April)",0,IF($K12="Termly",0,IF($K12="Monthly (excl. August)",$H12/11,""))))</f>
        <v>0</v>
      </c>
      <c r="X12" s="216"/>
    </row>
    <row r="13" spans="1:26" ht="18" x14ac:dyDescent="0.2">
      <c r="C13" s="612" t="str">
        <f>"Capital Balance Brought Forward from "&amp;'Fin.Yr Lookups'!A16</f>
        <v>Capital Balance Brought Forward from 2019-20</v>
      </c>
      <c r="H13" s="1140"/>
      <c r="I13" s="335"/>
      <c r="K13" s="1148" t="str">
        <f>IF(SUM(Y:Y)&gt;0,"Receipts do not equal yearly budgeted amounts on one or more rows (see column X)","")</f>
        <v/>
      </c>
      <c r="L13" s="1149"/>
      <c r="M13" s="1149"/>
      <c r="N13" s="1149"/>
      <c r="O13" s="1149"/>
      <c r="P13" s="1149"/>
      <c r="Q13" s="1149"/>
      <c r="R13" s="1149"/>
      <c r="S13" s="1149"/>
      <c r="T13" s="1149"/>
      <c r="U13" s="1149"/>
      <c r="V13" s="1149"/>
      <c r="W13" s="1149"/>
      <c r="X13" s="1150"/>
    </row>
    <row r="14" spans="1:26" ht="28.5" customHeight="1" thickBot="1" x14ac:dyDescent="0.25">
      <c r="C14" s="1138" t="str">
        <f>"This should equal your estimate of B03 + B05 on your "&amp;'Fin.Yr Lookups'!A16&amp;" year end CFR return, and must not include funds held by the LA"</f>
        <v>This should equal your estimate of B03 + B05 on your 2019-20 year end CFR return, and must not include funds held by the LA</v>
      </c>
      <c r="D14" s="1139"/>
      <c r="E14" s="1139"/>
      <c r="F14" s="1139"/>
      <c r="H14" s="1141"/>
      <c r="I14" s="335"/>
      <c r="K14" s="647"/>
      <c r="L14" s="648"/>
      <c r="M14" s="648"/>
      <c r="N14" s="648"/>
      <c r="O14" s="648"/>
      <c r="P14" s="648"/>
      <c r="Q14" s="648"/>
      <c r="R14" s="648"/>
      <c r="S14" s="648"/>
      <c r="T14" s="648"/>
      <c r="U14" s="648"/>
      <c r="V14" s="648"/>
      <c r="W14" s="648"/>
      <c r="X14" s="649"/>
    </row>
    <row r="15" spans="1:26" ht="17.25" customHeight="1" thickBot="1" x14ac:dyDescent="0.25">
      <c r="C15" s="47"/>
      <c r="H15" s="294"/>
      <c r="I15" s="294"/>
      <c r="K15" s="219" t="s">
        <v>281</v>
      </c>
      <c r="L15" s="217" t="s">
        <v>776</v>
      </c>
      <c r="M15" s="217" t="s">
        <v>270</v>
      </c>
      <c r="N15" s="217" t="s">
        <v>775</v>
      </c>
      <c r="O15" s="217" t="s">
        <v>774</v>
      </c>
      <c r="P15" s="217" t="s">
        <v>773</v>
      </c>
      <c r="Q15" s="217" t="s">
        <v>772</v>
      </c>
      <c r="R15" s="217" t="s">
        <v>771</v>
      </c>
      <c r="S15" s="217" t="s">
        <v>766</v>
      </c>
      <c r="T15" s="217" t="s">
        <v>767</v>
      </c>
      <c r="U15" s="217" t="s">
        <v>769</v>
      </c>
      <c r="V15" s="217" t="s">
        <v>768</v>
      </c>
      <c r="W15" s="217" t="s">
        <v>770</v>
      </c>
      <c r="X15" s="218" t="s">
        <v>266</v>
      </c>
      <c r="Z15" s="323" t="str">
        <f>IF(MAX(SUM(Z17:Z594))&gt;0,"Amount Unreconciled",IF(MIN(SUM(Z17:Z594))&lt;0,"Amount Unreconciled",""))</f>
        <v/>
      </c>
    </row>
    <row r="16" spans="1:26" x14ac:dyDescent="0.2">
      <c r="C16" s="47" t="s">
        <v>410</v>
      </c>
      <c r="H16" s="296"/>
      <c r="I16" s="296"/>
    </row>
    <row r="17" spans="3:26" ht="6" customHeight="1" x14ac:dyDescent="0.2">
      <c r="C17" s="47"/>
      <c r="H17" s="296"/>
      <c r="I17" s="296"/>
    </row>
    <row r="18" spans="3:26" ht="15" customHeight="1" x14ac:dyDescent="0.2">
      <c r="C18" s="611" t="str">
        <f>"Formula Capital Grant to be claimed in "&amp;'Fin.Yr Lookups'!A5&amp;" (see above)"</f>
        <v>Formula Capital Grant to be claimed in 2020-21 (see above)</v>
      </c>
      <c r="H18" s="291">
        <f>H7</f>
        <v>0</v>
      </c>
      <c r="I18" s="335"/>
      <c r="K18" s="290" t="s">
        <v>267</v>
      </c>
      <c r="L18" s="289" t="str">
        <f>IF($K18="Monthly",$H18/12,IF($K18="Quarterly (From April)",$H18/4,IF($K18="Termly",$H18/3,IF($K18="Monthly (excl. August)",$H18/11,""))))</f>
        <v/>
      </c>
      <c r="M18" s="289" t="str">
        <f t="shared" ref="M18:N20" si="0">IF($K18="Monthly",$H18/12,IF($K18="Quarterly (From April)",0,IF($K18="Termly",0,IF($K18="Monthly (excl. August)",$H18/11,""))))</f>
        <v/>
      </c>
      <c r="N18" s="289" t="str">
        <f t="shared" si="0"/>
        <v/>
      </c>
      <c r="O18" s="289" t="str">
        <f>IF($K18="Monthly",$H18/12,IF($K18="Quarterly (From April)",$H18/4,IF($K18="Termly",0,IF($K18="Monthly (excl. August)",$H18/11,""))))</f>
        <v/>
      </c>
      <c r="P18" s="289" t="str">
        <f>IF($K18="Monthly",$H18/12,IF($K18="Quarterly (From April)",0,IF($K18="Termly",0,IF($K18="Monthly (excl. August)",0,""))))</f>
        <v/>
      </c>
      <c r="Q18" s="289" t="str">
        <f>IF($K18="Monthly",$H18/12,IF($K18="Quarterly (From April)",0,IF($K18="Termly",$H18/3,IF($K18="Monthly (excl. August)",$H18/11,""))))</f>
        <v/>
      </c>
      <c r="R18" s="289" t="str">
        <f>IF($K18="Monthly",$H18/12,IF($K18="Quarterly (From April)",$H18/4,IF($K18="Termly",0,IF($K18="Monthly (excl. August)",$H18/11,""))))</f>
        <v/>
      </c>
      <c r="S18" s="289" t="str">
        <f t="shared" ref="S18:T20" si="1">IF($K18="Monthly",$H18/12,IF($K18="Quarterly (From April)",0,IF($K18="Termly",0,IF($K18="Monthly (excl. August)",$H18/11,""))))</f>
        <v/>
      </c>
      <c r="T18" s="289" t="str">
        <f t="shared" si="1"/>
        <v/>
      </c>
      <c r="U18" s="289" t="str">
        <f>IF($K18="Monthly",$H18/12,IF($K18="Quarterly (From April)",$H18/4,IF($K18="Termly",$H18/3,IF($K18="Monthly (excl. August)",$H18/11,""))))</f>
        <v/>
      </c>
      <c r="V18" s="289" t="str">
        <f t="shared" ref="V18:W20" si="2">IF($K18="Monthly",$H18/12,IF($K18="Quarterly (From April)",0,IF($K18="Termly",0,IF($K18="Monthly (excl. August)",$H18/11,""))))</f>
        <v/>
      </c>
      <c r="W18" s="289" t="str">
        <f t="shared" si="2"/>
        <v/>
      </c>
      <c r="X18" s="291">
        <f>H18</f>
        <v>0</v>
      </c>
      <c r="Y18" s="214">
        <f t="shared" ref="Y18:Y24" si="3">IF(ROUND(SUM(L18:W18),0)&gt;X18,1,IF(ROUND(SUM(L18:W18),0)&lt;X18,1,0))</f>
        <v>0</v>
      </c>
      <c r="Z18" s="322">
        <f>ROUND(SUM(L18:W18)-X18,0)</f>
        <v>0</v>
      </c>
    </row>
    <row r="19" spans="3:26" ht="15" customHeight="1" x14ac:dyDescent="0.2">
      <c r="C19" s="1" t="s">
        <v>411</v>
      </c>
      <c r="H19" s="316"/>
      <c r="I19" s="335"/>
      <c r="K19" s="290" t="s">
        <v>267</v>
      </c>
      <c r="L19" s="289" t="str">
        <f>IF($K19="Monthly",$H19/12,IF($K19="Quarterly (From April)",$H19/4,IF($K19="Termly",$H19/3,IF($K19="Monthly (excl. August)",$H19/11,""))))</f>
        <v/>
      </c>
      <c r="M19" s="289" t="str">
        <f t="shared" si="0"/>
        <v/>
      </c>
      <c r="N19" s="289" t="str">
        <f t="shared" si="0"/>
        <v/>
      </c>
      <c r="O19" s="289" t="str">
        <f>IF($K19="Monthly",$H19/12,IF($K19="Quarterly (From April)",$H19/4,IF($K19="Termly",0,IF($K19="Monthly (excl. August)",$H19/11,""))))</f>
        <v/>
      </c>
      <c r="P19" s="289" t="str">
        <f>IF($K19="Monthly",$H19/12,IF($K19="Quarterly (From April)",0,IF($K19="Termly",0,IF($K19="Monthly (excl. August)",0,""))))</f>
        <v/>
      </c>
      <c r="Q19" s="289" t="str">
        <f>IF($K19="Monthly",$H19/12,IF($K19="Quarterly (From April)",0,IF($K19="Termly",$H19/3,IF($K19="Monthly (excl. August)",$H19/11,""))))</f>
        <v/>
      </c>
      <c r="R19" s="289" t="str">
        <f>IF($K19="Monthly",$H19/12,IF($K19="Quarterly (From April)",$H19/4,IF($K19="Termly",0,IF($K19="Monthly (excl. August)",$H19/11,""))))</f>
        <v/>
      </c>
      <c r="S19" s="289" t="str">
        <f t="shared" si="1"/>
        <v/>
      </c>
      <c r="T19" s="289" t="str">
        <f t="shared" si="1"/>
        <v/>
      </c>
      <c r="U19" s="289" t="str">
        <f>IF($K19="Monthly",$H19/12,IF($K19="Quarterly (From April)",$H19/4,IF($K19="Termly",$H19/3,IF($K19="Monthly (excl. August)",$H19/11,""))))</f>
        <v/>
      </c>
      <c r="V19" s="289" t="str">
        <f t="shared" si="2"/>
        <v/>
      </c>
      <c r="W19" s="289" t="str">
        <f t="shared" si="2"/>
        <v/>
      </c>
      <c r="X19" s="291">
        <f>H19</f>
        <v>0</v>
      </c>
      <c r="Y19" s="214">
        <f t="shared" si="3"/>
        <v>0</v>
      </c>
      <c r="Z19" s="322">
        <f>ROUND(SUM(L19:W19)-X19,0)</f>
        <v>0</v>
      </c>
    </row>
    <row r="20" spans="3:26" ht="15" customHeight="1" x14ac:dyDescent="0.2">
      <c r="C20" s="1" t="s">
        <v>412</v>
      </c>
      <c r="H20" s="316"/>
      <c r="I20" s="335"/>
      <c r="K20" s="290" t="s">
        <v>267</v>
      </c>
      <c r="L20" s="289" t="str">
        <f>IF($K20="Monthly",$H20/12,IF($K20="Quarterly (From April)",$H20/4,IF($K20="Termly",$H20/3,IF($K20="Monthly (excl. August)",$H20/11,""))))</f>
        <v/>
      </c>
      <c r="M20" s="289" t="str">
        <f t="shared" si="0"/>
        <v/>
      </c>
      <c r="N20" s="289" t="str">
        <f t="shared" si="0"/>
        <v/>
      </c>
      <c r="O20" s="289" t="str">
        <f>IF($K20="Monthly",$H20/12,IF($K20="Quarterly (From April)",$H20/4,IF($K20="Termly",0,IF($K20="Monthly (excl. August)",$H20/11,""))))</f>
        <v/>
      </c>
      <c r="P20" s="289" t="str">
        <f>IF($K20="Monthly",$H20/12,IF($K20="Quarterly (From April)",0,IF($K20="Termly",0,IF($K20="Monthly (excl. August)",0,""))))</f>
        <v/>
      </c>
      <c r="Q20" s="289" t="str">
        <f>IF($K20="Monthly",$H20/12,IF($K20="Quarterly (From April)",0,IF($K20="Termly",$H20/3,IF($K20="Monthly (excl. August)",$H20/11,""))))</f>
        <v/>
      </c>
      <c r="R20" s="289" t="str">
        <f>IF($K20="Monthly",$H20/12,IF($K20="Quarterly (From April)",$H20/4,IF($K20="Termly",0,IF($K20="Monthly (excl. August)",$H20/11,""))))</f>
        <v/>
      </c>
      <c r="S20" s="289" t="str">
        <f t="shared" si="1"/>
        <v/>
      </c>
      <c r="T20" s="289" t="str">
        <f t="shared" si="1"/>
        <v/>
      </c>
      <c r="U20" s="289" t="str">
        <f>IF($K20="Monthly",$H20/12,IF($K20="Quarterly (From April)",$H20/4,IF($K20="Termly",$H20/3,IF($K20="Monthly (excl. August)",$H20/11,""))))</f>
        <v/>
      </c>
      <c r="V20" s="289" t="str">
        <f t="shared" si="2"/>
        <v/>
      </c>
      <c r="W20" s="289" t="str">
        <f t="shared" si="2"/>
        <v/>
      </c>
      <c r="X20" s="291">
        <f>H20</f>
        <v>0</v>
      </c>
      <c r="Y20" s="214">
        <f t="shared" si="3"/>
        <v>0</v>
      </c>
      <c r="Z20" s="322">
        <f>ROUND(SUM(L20:W20)-X20,0)</f>
        <v>0</v>
      </c>
    </row>
    <row r="21" spans="3:26" ht="15" customHeight="1" x14ac:dyDescent="0.2">
      <c r="C21" s="1" t="s">
        <v>782</v>
      </c>
      <c r="H21" s="291">
        <f>Expenditure!F203</f>
        <v>0</v>
      </c>
      <c r="I21" s="294"/>
      <c r="K21" s="292"/>
      <c r="L21" s="293"/>
      <c r="M21" s="293"/>
      <c r="N21" s="293"/>
      <c r="O21" s="293"/>
      <c r="P21" s="293"/>
      <c r="Q21" s="293"/>
      <c r="R21" s="293"/>
      <c r="S21" s="293"/>
      <c r="T21" s="293"/>
      <c r="U21" s="293"/>
      <c r="V21" s="293"/>
      <c r="W21" s="293"/>
      <c r="X21" s="294"/>
      <c r="Y21" s="214"/>
    </row>
    <row r="22" spans="3:26" ht="15" customHeight="1" x14ac:dyDescent="0.2">
      <c r="C22" s="1134" t="s">
        <v>422</v>
      </c>
      <c r="D22" s="1134"/>
      <c r="E22" s="1134"/>
      <c r="F22" s="1134"/>
      <c r="G22" s="91"/>
      <c r="H22" s="316"/>
      <c r="I22" s="335"/>
      <c r="K22" s="290" t="s">
        <v>267</v>
      </c>
      <c r="L22" s="289" t="str">
        <f>IF($K22="Monthly",$H22/12,IF($K22="Quarterly (From April)",$H22/4,IF($K22="Termly",$H22/3,IF($K22="Monthly (excl. August)",$H22/11,""))))</f>
        <v/>
      </c>
      <c r="M22" s="289" t="str">
        <f t="shared" ref="M22:N24" si="4">IF($K22="Monthly",$H22/12,IF($K22="Quarterly (From April)",0,IF($K22="Termly",0,IF($K22="Monthly (excl. August)",$H22/11,""))))</f>
        <v/>
      </c>
      <c r="N22" s="289" t="str">
        <f t="shared" si="4"/>
        <v/>
      </c>
      <c r="O22" s="289" t="str">
        <f>IF($K22="Monthly",$H22/12,IF($K22="Quarterly (From April)",$H22/4,IF($K22="Termly",0,IF($K22="Monthly (excl. August)",$H22/11,""))))</f>
        <v/>
      </c>
      <c r="P22" s="289" t="str">
        <f>IF($K22="Monthly",$H22/12,IF($K22="Quarterly (From April)",0,IF($K22="Termly",0,IF($K22="Monthly (excl. August)",0,""))))</f>
        <v/>
      </c>
      <c r="Q22" s="289" t="str">
        <f>IF($K22="Monthly",$H22/12,IF($K22="Quarterly (From April)",0,IF($K22="Termly",$H22/3,IF($K22="Monthly (excl. August)",$H22/11,""))))</f>
        <v/>
      </c>
      <c r="R22" s="289" t="str">
        <f>IF($K22="Monthly",$H22/12,IF($K22="Quarterly (From April)",$H22/4,IF($K22="Termly",0,IF($K22="Monthly (excl. August)",$H22/11,""))))</f>
        <v/>
      </c>
      <c r="S22" s="289" t="str">
        <f t="shared" ref="S22:T24" si="5">IF($K22="Monthly",$H22/12,IF($K22="Quarterly (From April)",0,IF($K22="Termly",0,IF($K22="Monthly (excl. August)",$H22/11,""))))</f>
        <v/>
      </c>
      <c r="T22" s="289" t="str">
        <f t="shared" si="5"/>
        <v/>
      </c>
      <c r="U22" s="289" t="str">
        <f>IF($K22="Monthly",$H22/12,IF($K22="Quarterly (From April)",$H22/4,IF($K22="Termly",$H22/3,IF($K22="Monthly (excl. August)",$H22/11,""))))</f>
        <v/>
      </c>
      <c r="V22" s="289" t="str">
        <f t="shared" ref="V22:W24" si="6">IF($K22="Monthly",$H22/12,IF($K22="Quarterly (From April)",0,IF($K22="Termly",0,IF($K22="Monthly (excl. August)",$H22/11,""))))</f>
        <v/>
      </c>
      <c r="W22" s="289" t="str">
        <f t="shared" si="6"/>
        <v/>
      </c>
      <c r="X22" s="291">
        <f>H22</f>
        <v>0</v>
      </c>
      <c r="Y22" s="214">
        <f t="shared" si="3"/>
        <v>0</v>
      </c>
      <c r="Z22" s="322">
        <f>ROUND(SUM(L22:W22)-X22,0)</f>
        <v>0</v>
      </c>
    </row>
    <row r="23" spans="3:26" ht="15" customHeight="1" x14ac:dyDescent="0.2">
      <c r="C23" s="1134" t="s">
        <v>423</v>
      </c>
      <c r="D23" s="1134"/>
      <c r="E23" s="1134"/>
      <c r="F23" s="1134"/>
      <c r="G23" s="91"/>
      <c r="H23" s="316"/>
      <c r="I23" s="335"/>
      <c r="K23" s="290" t="s">
        <v>267</v>
      </c>
      <c r="L23" s="289" t="str">
        <f>IF($K23="Monthly",$H23/12,IF($K23="Quarterly (From April)",$H23/4,IF($K23="Termly",$H23/3,IF($K23="Monthly (excl. August)",$H23/11,""))))</f>
        <v/>
      </c>
      <c r="M23" s="289" t="str">
        <f t="shared" si="4"/>
        <v/>
      </c>
      <c r="N23" s="289" t="str">
        <f t="shared" si="4"/>
        <v/>
      </c>
      <c r="O23" s="289" t="str">
        <f>IF($K23="Monthly",$H23/12,IF($K23="Quarterly (From April)",$H23/4,IF($K23="Termly",0,IF($K23="Monthly (excl. August)",$H23/11,""))))</f>
        <v/>
      </c>
      <c r="P23" s="289" t="str">
        <f>IF($K23="Monthly",$H23/12,IF($K23="Quarterly (From April)",0,IF($K23="Termly",0,IF($K23="Monthly (excl. August)",0,""))))</f>
        <v/>
      </c>
      <c r="Q23" s="289" t="str">
        <f>IF($K23="Monthly",$H23/12,IF($K23="Quarterly (From April)",0,IF($K23="Termly",$H23/3,IF($K23="Monthly (excl. August)",$H23/11,""))))</f>
        <v/>
      </c>
      <c r="R23" s="289" t="str">
        <f>IF($K23="Monthly",$H23/12,IF($K23="Quarterly (From April)",$H23/4,IF($K23="Termly",0,IF($K23="Monthly (excl. August)",$H23/11,""))))</f>
        <v/>
      </c>
      <c r="S23" s="289" t="str">
        <f t="shared" si="5"/>
        <v/>
      </c>
      <c r="T23" s="289" t="str">
        <f t="shared" si="5"/>
        <v/>
      </c>
      <c r="U23" s="289" t="str">
        <f>IF($K23="Monthly",$H23/12,IF($K23="Quarterly (From April)",$H23/4,IF($K23="Termly",$H23/3,IF($K23="Monthly (excl. August)",$H23/11,""))))</f>
        <v/>
      </c>
      <c r="V23" s="289" t="str">
        <f t="shared" si="6"/>
        <v/>
      </c>
      <c r="W23" s="289" t="str">
        <f t="shared" si="6"/>
        <v/>
      </c>
      <c r="X23" s="291">
        <f>H23</f>
        <v>0</v>
      </c>
      <c r="Y23" s="214">
        <f t="shared" si="3"/>
        <v>0</v>
      </c>
      <c r="Z23" s="322">
        <f>ROUND(SUM(L23:W23)-X23,0)</f>
        <v>0</v>
      </c>
    </row>
    <row r="24" spans="3:26" ht="15" customHeight="1" x14ac:dyDescent="0.2">
      <c r="C24" s="1134" t="s">
        <v>424</v>
      </c>
      <c r="D24" s="1134"/>
      <c r="E24" s="1134"/>
      <c r="F24" s="1134"/>
      <c r="G24" s="91"/>
      <c r="H24" s="316"/>
      <c r="I24" s="335"/>
      <c r="K24" s="290" t="s">
        <v>267</v>
      </c>
      <c r="L24" s="289" t="str">
        <f>IF($K24="Monthly",$H24/12,IF($K24="Quarterly (From April)",$H24/4,IF($K24="Termly",$H24/3,IF($K24="Monthly (excl. August)",$H24/11,""))))</f>
        <v/>
      </c>
      <c r="M24" s="289" t="str">
        <f t="shared" si="4"/>
        <v/>
      </c>
      <c r="N24" s="289" t="str">
        <f t="shared" si="4"/>
        <v/>
      </c>
      <c r="O24" s="289" t="str">
        <f>IF($K24="Monthly",$H24/12,IF($K24="Quarterly (From April)",$H24/4,IF($K24="Termly",0,IF($K24="Monthly (excl. August)",$H24/11,""))))</f>
        <v/>
      </c>
      <c r="P24" s="289" t="str">
        <f>IF($K24="Monthly",$H24/12,IF($K24="Quarterly (From April)",0,IF($K24="Termly",0,IF($K24="Monthly (excl. August)",0,""))))</f>
        <v/>
      </c>
      <c r="Q24" s="289" t="str">
        <f>IF($K24="Monthly",$H24/12,IF($K24="Quarterly (From April)",0,IF($K24="Termly",$H24/3,IF($K24="Monthly (excl. August)",$H24/11,""))))</f>
        <v/>
      </c>
      <c r="R24" s="289" t="str">
        <f>IF($K24="Monthly",$H24/12,IF($K24="Quarterly (From April)",$H24/4,IF($K24="Termly",0,IF($K24="Monthly (excl. August)",$H24/11,""))))</f>
        <v/>
      </c>
      <c r="S24" s="289" t="str">
        <f t="shared" si="5"/>
        <v/>
      </c>
      <c r="T24" s="289" t="str">
        <f t="shared" si="5"/>
        <v/>
      </c>
      <c r="U24" s="289" t="str">
        <f>IF($K24="Monthly",$H24/12,IF($K24="Quarterly (From April)",$H24/4,IF($K24="Termly",$H24/3,IF($K24="Monthly (excl. August)",$H24/11,""))))</f>
        <v/>
      </c>
      <c r="V24" s="289" t="str">
        <f t="shared" si="6"/>
        <v/>
      </c>
      <c r="W24" s="289" t="str">
        <f t="shared" si="6"/>
        <v/>
      </c>
      <c r="X24" s="291">
        <f>H24</f>
        <v>0</v>
      </c>
      <c r="Y24" s="214">
        <f t="shared" si="3"/>
        <v>0</v>
      </c>
      <c r="Z24" s="322">
        <f>ROUND(SUM(L24:W24)-X24,0)</f>
        <v>0</v>
      </c>
    </row>
    <row r="25" spans="3:26" ht="15" customHeight="1" thickBot="1" x14ac:dyDescent="0.25">
      <c r="H25" s="296"/>
      <c r="I25" s="296"/>
      <c r="K25" s="172"/>
      <c r="L25" s="295"/>
      <c r="M25" s="295"/>
      <c r="N25" s="295"/>
      <c r="O25" s="295"/>
      <c r="P25" s="295"/>
      <c r="Q25" s="295"/>
      <c r="R25" s="295"/>
      <c r="S25" s="295"/>
      <c r="T25" s="295"/>
      <c r="U25" s="295"/>
      <c r="V25" s="295"/>
      <c r="W25" s="295"/>
      <c r="X25" s="296"/>
    </row>
    <row r="26" spans="3:26" ht="15" customHeight="1" thickBot="1" x14ac:dyDescent="0.25">
      <c r="C26" s="47" t="s">
        <v>413</v>
      </c>
      <c r="H26" s="317">
        <f>SUM(H18:H24)+H13</f>
        <v>0</v>
      </c>
      <c r="I26" s="336"/>
      <c r="K26" s="172"/>
      <c r="L26" s="295"/>
      <c r="M26" s="295"/>
      <c r="N26" s="295"/>
      <c r="O26" s="295"/>
      <c r="P26" s="295"/>
      <c r="Q26" s="295"/>
      <c r="R26" s="295"/>
      <c r="S26" s="295"/>
      <c r="T26" s="295"/>
      <c r="U26" s="295"/>
      <c r="V26" s="295"/>
      <c r="W26" s="295"/>
      <c r="X26" s="296"/>
    </row>
    <row r="27" spans="3:26" ht="21.75" customHeight="1" x14ac:dyDescent="0.2">
      <c r="H27" s="296"/>
      <c r="I27" s="296"/>
      <c r="K27" s="172"/>
      <c r="L27" s="295"/>
      <c r="M27" s="295"/>
      <c r="N27" s="295"/>
      <c r="O27" s="295"/>
      <c r="P27" s="295"/>
      <c r="Q27" s="295"/>
      <c r="R27" s="295"/>
      <c r="S27" s="295"/>
      <c r="T27" s="295"/>
      <c r="U27" s="295"/>
      <c r="V27" s="295"/>
      <c r="W27" s="295"/>
      <c r="X27" s="296"/>
    </row>
    <row r="28" spans="3:26" x14ac:dyDescent="0.2">
      <c r="C28" s="612" t="str">
        <f>"Planned "&amp;'Fin.Yr Lookups'!A5&amp;" Capital Expenditure"</f>
        <v>Planned 2020-21 Capital Expenditure</v>
      </c>
      <c r="H28" s="296"/>
      <c r="I28" s="296"/>
      <c r="K28" s="172"/>
      <c r="L28" s="295"/>
      <c r="M28" s="295"/>
      <c r="N28" s="295"/>
      <c r="O28" s="295"/>
      <c r="P28" s="295"/>
      <c r="Q28" s="295"/>
      <c r="R28" s="295"/>
      <c r="S28" s="295"/>
      <c r="T28" s="295"/>
      <c r="U28" s="295"/>
      <c r="V28" s="295"/>
      <c r="W28" s="295"/>
      <c r="X28" s="296"/>
    </row>
    <row r="29" spans="3:26" ht="6" customHeight="1" x14ac:dyDescent="0.2">
      <c r="H29" s="296"/>
      <c r="I29" s="296"/>
      <c r="K29" s="172"/>
      <c r="L29" s="295"/>
      <c r="M29" s="295"/>
      <c r="N29" s="295"/>
      <c r="O29" s="295"/>
      <c r="P29" s="295"/>
      <c r="Q29" s="295"/>
      <c r="R29" s="295"/>
      <c r="S29" s="295"/>
      <c r="T29" s="295"/>
      <c r="U29" s="295"/>
      <c r="V29" s="295"/>
      <c r="W29" s="295"/>
      <c r="X29" s="296"/>
    </row>
    <row r="30" spans="3:26" ht="15" customHeight="1" x14ac:dyDescent="0.2">
      <c r="C30" s="1134" t="s">
        <v>415</v>
      </c>
      <c r="D30" s="1134"/>
      <c r="E30" s="1134"/>
      <c r="F30" s="1134"/>
      <c r="G30" s="91"/>
      <c r="H30" s="316"/>
      <c r="I30" s="335"/>
      <c r="K30" s="290" t="s">
        <v>267</v>
      </c>
      <c r="L30" s="289" t="str">
        <f t="shared" ref="L30:L35" si="7">IF($K30="Monthly",$H30/12,IF($K30="Quarterly (From April)",$H30/4,IF($K30="Termly",$H30/3,IF($K30="Monthly (excl. August)",$H30/11,""))))</f>
        <v/>
      </c>
      <c r="M30" s="289" t="str">
        <f t="shared" ref="M30:N35" si="8">IF($K30="Monthly",$H30/12,IF($K30="Quarterly (From April)",0,IF($K30="Termly",0,IF($K30="Monthly (excl. August)",$H30/11,""))))</f>
        <v/>
      </c>
      <c r="N30" s="289" t="str">
        <f t="shared" si="8"/>
        <v/>
      </c>
      <c r="O30" s="289" t="str">
        <f t="shared" ref="O30:O35" si="9">IF($K30="Monthly",$H30/12,IF($K30="Quarterly (From April)",$H30/4,IF($K30="Termly",0,IF($K30="Monthly (excl. August)",$H30/11,""))))</f>
        <v/>
      </c>
      <c r="P30" s="289" t="str">
        <f t="shared" ref="P30:P35" si="10">IF($K30="Monthly",$H30/12,IF($K30="Quarterly (From April)",0,IF($K30="Termly",0,IF($K30="Monthly (excl. August)",0,""))))</f>
        <v/>
      </c>
      <c r="Q30" s="289" t="str">
        <f t="shared" ref="Q30:Q35" si="11">IF($K30="Monthly",$H30/12,IF($K30="Quarterly (From April)",0,IF($K30="Termly",$H30/3,IF($K30="Monthly (excl. August)",$H30/11,""))))</f>
        <v/>
      </c>
      <c r="R30" s="289" t="str">
        <f t="shared" ref="R30:R35" si="12">IF($K30="Monthly",$H30/12,IF($K30="Quarterly (From April)",$H30/4,IF($K30="Termly",0,IF($K30="Monthly (excl. August)",$H30/11,""))))</f>
        <v/>
      </c>
      <c r="S30" s="289" t="str">
        <f t="shared" ref="S30:T35" si="13">IF($K30="Monthly",$H30/12,IF($K30="Quarterly (From April)",0,IF($K30="Termly",0,IF($K30="Monthly (excl. August)",$H30/11,""))))</f>
        <v/>
      </c>
      <c r="T30" s="289" t="str">
        <f t="shared" si="13"/>
        <v/>
      </c>
      <c r="U30" s="289" t="str">
        <f t="shared" ref="U30:U35" si="14">IF($K30="Monthly",$H30/12,IF($K30="Quarterly (From April)",$H30/4,IF($K30="Termly",$H30/3,IF($K30="Monthly (excl. August)",$H30/11,""))))</f>
        <v/>
      </c>
      <c r="V30" s="289" t="str">
        <f t="shared" ref="V30:W35" si="15">IF($K30="Monthly",$H30/12,IF($K30="Quarterly (From April)",0,IF($K30="Termly",0,IF($K30="Monthly (excl. August)",$H30/11,""))))</f>
        <v/>
      </c>
      <c r="W30" s="289" t="str">
        <f t="shared" si="15"/>
        <v/>
      </c>
      <c r="X30" s="291">
        <f t="shared" ref="X30:X35" si="16">H30</f>
        <v>0</v>
      </c>
      <c r="Y30" s="214">
        <f t="shared" ref="Y30:Y35" si="17">IF(ROUND(SUM(L30:W30),0)&gt;X30,1,IF(ROUND(SUM(L30:W30),0)&lt;X30,1,0))</f>
        <v>0</v>
      </c>
      <c r="Z30" s="322">
        <f t="shared" ref="Z30:Z35" si="18">ROUND(SUM(L30:W30)-X30,0)</f>
        <v>0</v>
      </c>
    </row>
    <row r="31" spans="3:26" ht="15" customHeight="1" x14ac:dyDescent="0.2">
      <c r="C31" s="1134" t="s">
        <v>416</v>
      </c>
      <c r="D31" s="1134"/>
      <c r="E31" s="1134"/>
      <c r="F31" s="1134"/>
      <c r="G31" s="91"/>
      <c r="H31" s="316"/>
      <c r="I31" s="335"/>
      <c r="K31" s="290" t="s">
        <v>267</v>
      </c>
      <c r="L31" s="289" t="str">
        <f t="shared" si="7"/>
        <v/>
      </c>
      <c r="M31" s="289" t="str">
        <f t="shared" si="8"/>
        <v/>
      </c>
      <c r="N31" s="289" t="str">
        <f t="shared" si="8"/>
        <v/>
      </c>
      <c r="O31" s="289" t="str">
        <f t="shared" si="9"/>
        <v/>
      </c>
      <c r="P31" s="289" t="str">
        <f t="shared" si="10"/>
        <v/>
      </c>
      <c r="Q31" s="289" t="str">
        <f t="shared" si="11"/>
        <v/>
      </c>
      <c r="R31" s="289" t="str">
        <f t="shared" si="12"/>
        <v/>
      </c>
      <c r="S31" s="289" t="str">
        <f t="shared" si="13"/>
        <v/>
      </c>
      <c r="T31" s="289" t="str">
        <f t="shared" si="13"/>
        <v/>
      </c>
      <c r="U31" s="289" t="str">
        <f t="shared" si="14"/>
        <v/>
      </c>
      <c r="V31" s="289" t="str">
        <f t="shared" si="15"/>
        <v/>
      </c>
      <c r="W31" s="289" t="str">
        <f t="shared" si="15"/>
        <v/>
      </c>
      <c r="X31" s="291">
        <f t="shared" si="16"/>
        <v>0</v>
      </c>
      <c r="Y31" s="214">
        <f t="shared" si="17"/>
        <v>0</v>
      </c>
      <c r="Z31" s="322">
        <f t="shared" si="18"/>
        <v>0</v>
      </c>
    </row>
    <row r="32" spans="3:26" ht="15" customHeight="1" x14ac:dyDescent="0.2">
      <c r="C32" s="1134" t="s">
        <v>417</v>
      </c>
      <c r="D32" s="1134"/>
      <c r="E32" s="1134"/>
      <c r="F32" s="1134"/>
      <c r="G32" s="91"/>
      <c r="H32" s="316"/>
      <c r="I32" s="335"/>
      <c r="K32" s="290" t="s">
        <v>267</v>
      </c>
      <c r="L32" s="289" t="str">
        <f t="shared" si="7"/>
        <v/>
      </c>
      <c r="M32" s="289" t="str">
        <f t="shared" si="8"/>
        <v/>
      </c>
      <c r="N32" s="289" t="str">
        <f t="shared" si="8"/>
        <v/>
      </c>
      <c r="O32" s="289" t="str">
        <f t="shared" si="9"/>
        <v/>
      </c>
      <c r="P32" s="289" t="str">
        <f t="shared" si="10"/>
        <v/>
      </c>
      <c r="Q32" s="289" t="str">
        <f t="shared" si="11"/>
        <v/>
      </c>
      <c r="R32" s="289" t="str">
        <f t="shared" si="12"/>
        <v/>
      </c>
      <c r="S32" s="289" t="str">
        <f t="shared" si="13"/>
        <v/>
      </c>
      <c r="T32" s="289" t="str">
        <f t="shared" si="13"/>
        <v/>
      </c>
      <c r="U32" s="289" t="str">
        <f t="shared" si="14"/>
        <v/>
      </c>
      <c r="V32" s="289" t="str">
        <f t="shared" si="15"/>
        <v/>
      </c>
      <c r="W32" s="289" t="str">
        <f t="shared" si="15"/>
        <v/>
      </c>
      <c r="X32" s="291">
        <f t="shared" si="16"/>
        <v>0</v>
      </c>
      <c r="Y32" s="214">
        <f t="shared" si="17"/>
        <v>0</v>
      </c>
      <c r="Z32" s="322">
        <f t="shared" si="18"/>
        <v>0</v>
      </c>
    </row>
    <row r="33" spans="3:26" ht="15" customHeight="1" x14ac:dyDescent="0.2">
      <c r="C33" s="1134" t="s">
        <v>418</v>
      </c>
      <c r="D33" s="1134"/>
      <c r="E33" s="1134"/>
      <c r="F33" s="1134"/>
      <c r="G33" s="91"/>
      <c r="H33" s="316"/>
      <c r="I33" s="335"/>
      <c r="K33" s="290" t="s">
        <v>267</v>
      </c>
      <c r="L33" s="289" t="str">
        <f t="shared" si="7"/>
        <v/>
      </c>
      <c r="M33" s="289" t="str">
        <f t="shared" si="8"/>
        <v/>
      </c>
      <c r="N33" s="289" t="str">
        <f t="shared" si="8"/>
        <v/>
      </c>
      <c r="O33" s="289" t="str">
        <f t="shared" si="9"/>
        <v/>
      </c>
      <c r="P33" s="289" t="str">
        <f t="shared" si="10"/>
        <v/>
      </c>
      <c r="Q33" s="289" t="str">
        <f t="shared" si="11"/>
        <v/>
      </c>
      <c r="R33" s="289" t="str">
        <f t="shared" si="12"/>
        <v/>
      </c>
      <c r="S33" s="289" t="str">
        <f t="shared" si="13"/>
        <v/>
      </c>
      <c r="T33" s="289" t="str">
        <f t="shared" si="13"/>
        <v/>
      </c>
      <c r="U33" s="289" t="str">
        <f t="shared" si="14"/>
        <v/>
      </c>
      <c r="V33" s="289" t="str">
        <f t="shared" si="15"/>
        <v/>
      </c>
      <c r="W33" s="289" t="str">
        <f t="shared" si="15"/>
        <v/>
      </c>
      <c r="X33" s="291">
        <f t="shared" si="16"/>
        <v>0</v>
      </c>
      <c r="Y33" s="214">
        <f t="shared" si="17"/>
        <v>0</v>
      </c>
      <c r="Z33" s="322">
        <f t="shared" si="18"/>
        <v>0</v>
      </c>
    </row>
    <row r="34" spans="3:26" ht="15" customHeight="1" x14ac:dyDescent="0.2">
      <c r="C34" s="1134" t="s">
        <v>419</v>
      </c>
      <c r="D34" s="1134"/>
      <c r="E34" s="1134"/>
      <c r="F34" s="1134"/>
      <c r="G34" s="91"/>
      <c r="H34" s="316"/>
      <c r="I34" s="335"/>
      <c r="K34" s="290" t="s">
        <v>267</v>
      </c>
      <c r="L34" s="289" t="str">
        <f t="shared" si="7"/>
        <v/>
      </c>
      <c r="M34" s="289" t="str">
        <f t="shared" si="8"/>
        <v/>
      </c>
      <c r="N34" s="289" t="str">
        <f t="shared" si="8"/>
        <v/>
      </c>
      <c r="O34" s="289" t="str">
        <f t="shared" si="9"/>
        <v/>
      </c>
      <c r="P34" s="289" t="str">
        <f t="shared" si="10"/>
        <v/>
      </c>
      <c r="Q34" s="289" t="str">
        <f t="shared" si="11"/>
        <v/>
      </c>
      <c r="R34" s="289" t="str">
        <f t="shared" si="12"/>
        <v/>
      </c>
      <c r="S34" s="289" t="str">
        <f t="shared" si="13"/>
        <v/>
      </c>
      <c r="T34" s="289" t="str">
        <f t="shared" si="13"/>
        <v/>
      </c>
      <c r="U34" s="289" t="str">
        <f t="shared" si="14"/>
        <v/>
      </c>
      <c r="V34" s="289" t="str">
        <f t="shared" si="15"/>
        <v/>
      </c>
      <c r="W34" s="289" t="str">
        <f t="shared" si="15"/>
        <v/>
      </c>
      <c r="X34" s="291">
        <f t="shared" si="16"/>
        <v>0</v>
      </c>
      <c r="Y34" s="214">
        <f t="shared" si="17"/>
        <v>0</v>
      </c>
      <c r="Z34" s="322">
        <f t="shared" si="18"/>
        <v>0</v>
      </c>
    </row>
    <row r="35" spans="3:26" ht="15" customHeight="1" x14ac:dyDescent="0.2">
      <c r="C35" s="1134" t="s">
        <v>420</v>
      </c>
      <c r="D35" s="1134"/>
      <c r="E35" s="1134"/>
      <c r="F35" s="1134"/>
      <c r="G35" s="91"/>
      <c r="H35" s="316"/>
      <c r="I35" s="335"/>
      <c r="K35" s="290" t="s">
        <v>267</v>
      </c>
      <c r="L35" s="289" t="str">
        <f t="shared" si="7"/>
        <v/>
      </c>
      <c r="M35" s="289" t="str">
        <f t="shared" si="8"/>
        <v/>
      </c>
      <c r="N35" s="289" t="str">
        <f t="shared" si="8"/>
        <v/>
      </c>
      <c r="O35" s="289" t="str">
        <f t="shared" si="9"/>
        <v/>
      </c>
      <c r="P35" s="289" t="str">
        <f t="shared" si="10"/>
        <v/>
      </c>
      <c r="Q35" s="289" t="str">
        <f t="shared" si="11"/>
        <v/>
      </c>
      <c r="R35" s="289" t="str">
        <f t="shared" si="12"/>
        <v/>
      </c>
      <c r="S35" s="289" t="str">
        <f t="shared" si="13"/>
        <v/>
      </c>
      <c r="T35" s="289" t="str">
        <f t="shared" si="13"/>
        <v/>
      </c>
      <c r="U35" s="289" t="str">
        <f t="shared" si="14"/>
        <v/>
      </c>
      <c r="V35" s="289" t="str">
        <f t="shared" si="15"/>
        <v/>
      </c>
      <c r="W35" s="289" t="str">
        <f t="shared" si="15"/>
        <v/>
      </c>
      <c r="X35" s="291">
        <f t="shared" si="16"/>
        <v>0</v>
      </c>
      <c r="Y35" s="214">
        <f t="shared" si="17"/>
        <v>0</v>
      </c>
      <c r="Z35" s="322">
        <f t="shared" si="18"/>
        <v>0</v>
      </c>
    </row>
    <row r="36" spans="3:26" ht="6" customHeight="1" thickBot="1" x14ac:dyDescent="0.25">
      <c r="H36" s="296"/>
      <c r="I36" s="296"/>
    </row>
    <row r="37" spans="3:26" ht="15" customHeight="1" thickBot="1" x14ac:dyDescent="0.25">
      <c r="C37" s="47" t="s">
        <v>414</v>
      </c>
      <c r="H37" s="318">
        <f>SUM(H30:H35)</f>
        <v>0</v>
      </c>
      <c r="I37" s="294"/>
    </row>
    <row r="38" spans="3:26" ht="13.5" thickBot="1" x14ac:dyDescent="0.25">
      <c r="H38" s="296"/>
      <c r="I38" s="296"/>
    </row>
    <row r="39" spans="3:26" ht="15" customHeight="1" thickBot="1" x14ac:dyDescent="0.25">
      <c r="C39" s="3" t="str">
        <f>"Projected Capital Balance as at "&amp;'Fin.Yr Lookups'!A8</f>
        <v>Projected Capital Balance as at 31/3/21</v>
      </c>
      <c r="H39" s="319">
        <f>H26-H37</f>
        <v>0</v>
      </c>
      <c r="I39" s="336"/>
    </row>
    <row r="40" spans="3:26" ht="12.75" customHeight="1" x14ac:dyDescent="0.2">
      <c r="C40" s="1143" t="str">
        <f>IF(H39&lt;0,"Warning: Deficit Capital Balance Projected at Year End","")</f>
        <v/>
      </c>
      <c r="D40" s="1144"/>
      <c r="E40" s="1144"/>
      <c r="F40" s="1144"/>
      <c r="G40" s="1144"/>
      <c r="H40" s="1144"/>
      <c r="I40" s="337"/>
    </row>
    <row r="41" spans="3:26" ht="12.75" customHeight="1" x14ac:dyDescent="0.2"/>
    <row r="42" spans="3:26" x14ac:dyDescent="0.2">
      <c r="C42" s="3" t="str">
        <f>"Planned Use of "&amp;'Fin.Yr Lookups'!A5&amp;" Year-End Balance"</f>
        <v>Planned Use of 2020-21 Year-End Balance</v>
      </c>
    </row>
    <row r="44" spans="3:26" ht="15" customHeight="1" x14ac:dyDescent="0.2">
      <c r="C44" s="1145" t="s">
        <v>421</v>
      </c>
      <c r="D44" s="1145"/>
      <c r="E44" s="1145"/>
      <c r="F44" s="1145"/>
      <c r="G44" s="91"/>
      <c r="H44" s="92"/>
      <c r="I44" s="338"/>
    </row>
    <row r="45" spans="3:26" ht="15" customHeight="1" x14ac:dyDescent="0.2">
      <c r="C45" s="1145" t="s">
        <v>421</v>
      </c>
      <c r="D45" s="1145"/>
      <c r="E45" s="1145"/>
      <c r="F45" s="1145"/>
      <c r="G45" s="91"/>
      <c r="H45" s="92"/>
      <c r="I45" s="338"/>
    </row>
    <row r="46" spans="3:26" ht="15" customHeight="1" x14ac:dyDescent="0.2">
      <c r="C46" s="1145" t="s">
        <v>421</v>
      </c>
      <c r="D46" s="1145"/>
      <c r="E46" s="1145"/>
      <c r="F46" s="1145"/>
      <c r="G46" s="91"/>
      <c r="H46" s="92"/>
      <c r="I46" s="338"/>
    </row>
    <row r="47" spans="3:26" ht="15" customHeight="1" x14ac:dyDescent="0.2">
      <c r="C47" s="1145" t="s">
        <v>421</v>
      </c>
      <c r="D47" s="1145"/>
      <c r="E47" s="1145"/>
      <c r="F47" s="1145"/>
      <c r="G47" s="91"/>
      <c r="H47" s="92"/>
      <c r="I47" s="338"/>
    </row>
    <row r="48" spans="3:26" ht="15" customHeight="1" x14ac:dyDescent="0.2">
      <c r="C48" s="1145" t="s">
        <v>421</v>
      </c>
      <c r="D48" s="1145"/>
      <c r="E48" s="1145"/>
      <c r="F48" s="1145"/>
      <c r="G48" s="91"/>
      <c r="H48" s="92"/>
      <c r="I48" s="338"/>
    </row>
    <row r="49" spans="3:9" ht="6" customHeight="1" thickBot="1" x14ac:dyDescent="0.25"/>
    <row r="50" spans="3:9" ht="36" customHeight="1" thickBot="1" x14ac:dyDescent="0.25">
      <c r="C50" s="1142" t="str">
        <f>IF(H50&gt;H39,"Warning: Insufficient Balance b/fwd to cover projects planned after "&amp;'Fin.Yr Lookups'!A5,IF(H50&lt;H39,"Details have not been entered on how all of the "&amp;'Fin.Yr Lookups'!A5&amp;" year-end balance is to be used",""))</f>
        <v/>
      </c>
      <c r="D50" s="1142"/>
      <c r="E50" s="1142"/>
      <c r="F50" s="1142"/>
      <c r="H50" s="40">
        <f>SUM(H44:H48)</f>
        <v>0</v>
      </c>
      <c r="I50" s="339"/>
    </row>
  </sheetData>
  <sheetProtection algorithmName="SHA-512" hashValue="MF/n9dEow9q3Qg+zvyKytAode6kIwL6EnX6aaG3YrGgdXTU6aqzrzhbAFH7D7gyuvlHWsRD6sEwL2kFU/VdIQg==" saltValue="Y/fGhV6QUoE3vIP1aJE53g==" spinCount="100000" sheet="1" formatCells="0"/>
  <mergeCells count="25">
    <mergeCell ref="K2:X2"/>
    <mergeCell ref="K3:X11"/>
    <mergeCell ref="K13:X13"/>
    <mergeCell ref="C2:H2"/>
    <mergeCell ref="C3:E3"/>
    <mergeCell ref="C4:G6"/>
    <mergeCell ref="C50:F50"/>
    <mergeCell ref="C40:H40"/>
    <mergeCell ref="C47:F47"/>
    <mergeCell ref="C48:F48"/>
    <mergeCell ref="C30:F30"/>
    <mergeCell ref="C31:F31"/>
    <mergeCell ref="C32:F32"/>
    <mergeCell ref="C46:F46"/>
    <mergeCell ref="C33:F33"/>
    <mergeCell ref="C35:F35"/>
    <mergeCell ref="C44:F44"/>
    <mergeCell ref="C45:F45"/>
    <mergeCell ref="C22:F22"/>
    <mergeCell ref="C23:F23"/>
    <mergeCell ref="C24:F24"/>
    <mergeCell ref="A1:J1"/>
    <mergeCell ref="C34:F34"/>
    <mergeCell ref="C14:F14"/>
    <mergeCell ref="H13:H14"/>
  </mergeCells>
  <phoneticPr fontId="30" type="noConversion"/>
  <conditionalFormatting sqref="X21">
    <cfRule type="cellIs" dxfId="38" priority="1" stopIfTrue="1" operator="notEqual">
      <formula>ROUND(SUM($K21:$V21),0)</formula>
    </cfRule>
  </conditionalFormatting>
  <conditionalFormatting sqref="X18:X20 X22:X24 X30:X35">
    <cfRule type="cellIs" dxfId="37" priority="2" stopIfTrue="1" operator="notEqual">
      <formula>ROUND(SUM($L18:$W18),0)</formula>
    </cfRule>
  </conditionalFormatting>
  <conditionalFormatting sqref="Z18:Z20 Z22:Z24 Z30:Z35">
    <cfRule type="cellIs" dxfId="36" priority="3" stopIfTrue="1" operator="equal">
      <formula>0</formula>
    </cfRule>
  </conditionalFormatting>
  <dataValidations disablePrompts="1" count="1">
    <dataValidation type="list" allowBlank="1" showInputMessage="1" showErrorMessage="1" prompt="Pick profile from drop down list" sqref="K30:K35 K22:K24 K18:K20">
      <formula1>profile</formula1>
    </dataValidation>
  </dataValidations>
  <hyperlinks>
    <hyperlink ref="C3:E3" location="' Guidance Notes'!A66" display="Go to Guidance Notes"/>
  </hyperlinks>
  <pageMargins left="0.74803149606299213" right="0.74803149606299213" top="0.98425196850393704" bottom="0.98425196850393704" header="0.19685039370078741" footer="0.19685039370078741"/>
  <pageSetup paperSize="9" scale="95" orientation="portrait" blackAndWhite="1" r:id="rId1"/>
  <headerFooter alignWithMargins="0">
    <oddHeader>&amp;R&amp;F</oddHeader>
    <oddFooter>&amp;LFormat Prepared by the Schools Finance Team&amp;C&amp;P&amp;RPrinted &amp;T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CFFFF"/>
  </sheetPr>
  <dimension ref="A1:I21"/>
  <sheetViews>
    <sheetView zoomScaleNormal="100" workbookViewId="0">
      <selection activeCell="B11" sqref="B11:C11"/>
    </sheetView>
  </sheetViews>
  <sheetFormatPr defaultColWidth="9.140625" defaultRowHeight="12.75" x14ac:dyDescent="0.2"/>
  <cols>
    <col min="1" max="1" width="19" style="355" customWidth="1"/>
    <col min="2" max="2" width="26.7109375" style="355" customWidth="1"/>
    <col min="3" max="3" width="12.85546875" style="355" customWidth="1"/>
    <col min="4" max="4" width="11.5703125" style="355" customWidth="1"/>
    <col min="5" max="5" width="10.5703125" style="355" customWidth="1"/>
    <col min="6" max="6" width="9.140625" style="355" customWidth="1"/>
    <col min="7" max="7" width="17.28515625" style="355" customWidth="1"/>
    <col min="8" max="8" width="7" style="389" hidden="1" customWidth="1"/>
    <col min="9" max="10" width="9.140625" style="355"/>
    <col min="11" max="11" width="23" style="355" bestFit="1" customWidth="1"/>
    <col min="12" max="16384" width="9.140625" style="355"/>
  </cols>
  <sheetData>
    <row r="1" spans="1:9" ht="15.75" x14ac:dyDescent="0.2">
      <c r="A1" s="1157" t="str">
        <f>Summary!A1</f>
        <v>Matching Green CE P</v>
      </c>
      <c r="B1" s="1157"/>
      <c r="C1" s="1157"/>
      <c r="D1" s="1157"/>
      <c r="E1" s="1157"/>
      <c r="F1" s="1157"/>
      <c r="G1" s="1157"/>
      <c r="H1" s="660"/>
      <c r="I1" s="387"/>
    </row>
    <row r="2" spans="1:9" ht="9.75" customHeight="1" x14ac:dyDescent="0.25">
      <c r="A2" s="1170"/>
      <c r="B2" s="1170"/>
      <c r="C2" s="1170"/>
      <c r="D2" s="1170"/>
      <c r="E2" s="1170"/>
      <c r="F2" s="1170"/>
      <c r="G2" s="1170"/>
      <c r="H2" s="526"/>
      <c r="I2" s="387"/>
    </row>
    <row r="3" spans="1:9" ht="18" x14ac:dyDescent="0.25">
      <c r="A3" s="1171" t="s">
        <v>406</v>
      </c>
      <c r="B3" s="1171"/>
      <c r="C3" s="1171"/>
      <c r="D3" s="1171"/>
      <c r="E3" s="1171"/>
      <c r="F3" s="1171"/>
      <c r="G3" s="1171"/>
      <c r="H3" s="526"/>
      <c r="I3" s="387"/>
    </row>
    <row r="4" spans="1:9" x14ac:dyDescent="0.2">
      <c r="H4" s="526"/>
      <c r="I4" s="387"/>
    </row>
    <row r="5" spans="1:9" ht="31.5" customHeight="1" x14ac:dyDescent="0.2">
      <c r="A5" s="1172" t="s">
        <v>916</v>
      </c>
      <c r="B5" s="1172"/>
      <c r="C5" s="1172"/>
      <c r="D5" s="1172"/>
      <c r="E5" s="1172"/>
      <c r="F5" s="1172"/>
      <c r="G5" s="1172"/>
      <c r="H5" s="570" t="str">
        <f>"This amount is then used as the hourly rate that will be funded for "&amp;'Fin.Yr Lookups'!A5&amp;", including any deprivation &amp; Pupil Premium funding."</f>
        <v>This amount is then used as the hourly rate that will be funded for 2020-21, including any deprivation &amp; Pupil Premium funding.</v>
      </c>
    </row>
    <row r="6" spans="1:9" ht="12.75" customHeight="1" x14ac:dyDescent="0.2">
      <c r="A6" s="714"/>
      <c r="C6" s="717" t="s">
        <v>910</v>
      </c>
      <c r="D6" s="915">
        <v>4.24</v>
      </c>
      <c r="G6" s="714"/>
    </row>
    <row r="7" spans="1:9" x14ac:dyDescent="0.2">
      <c r="A7" s="715"/>
      <c r="C7" s="718" t="s">
        <v>911</v>
      </c>
      <c r="D7" s="916">
        <v>5.2</v>
      </c>
      <c r="G7" s="716"/>
    </row>
    <row r="8" spans="1:9" ht="11.25" customHeight="1" x14ac:dyDescent="0.2">
      <c r="A8" s="1161"/>
      <c r="B8" s="1161"/>
      <c r="C8" s="1161"/>
      <c r="D8" s="1161"/>
      <c r="E8" s="1161"/>
      <c r="F8" s="1161"/>
      <c r="G8" s="1161"/>
    </row>
    <row r="9" spans="1:9" ht="56.25" customHeight="1" x14ac:dyDescent="0.2">
      <c r="A9" s="623" t="str">
        <f>'Fin.Yr Lookups'!A5</f>
        <v>2020-21</v>
      </c>
      <c r="B9" s="1164" t="s">
        <v>909</v>
      </c>
      <c r="C9" s="1165"/>
      <c r="D9" s="623" t="s">
        <v>876</v>
      </c>
      <c r="E9" s="623" t="s">
        <v>405</v>
      </c>
      <c r="F9" s="623" t="s">
        <v>875</v>
      </c>
      <c r="G9" s="623" t="s">
        <v>705</v>
      </c>
    </row>
    <row r="10" spans="1:9" ht="13.5" customHeight="1" x14ac:dyDescent="0.2">
      <c r="A10" s="1158" t="s">
        <v>915</v>
      </c>
      <c r="B10" s="1159"/>
      <c r="C10" s="1159"/>
      <c r="D10" s="1159"/>
      <c r="E10" s="1159"/>
      <c r="F10" s="1159"/>
      <c r="G10" s="1160"/>
    </row>
    <row r="11" spans="1:9" ht="12.75" customHeight="1" x14ac:dyDescent="0.2">
      <c r="A11" s="689" t="str">
        <f>"Summer "&amp;'Fin.Yr Lookups'!A3</f>
        <v>Summer 2020</v>
      </c>
      <c r="B11" s="1162"/>
      <c r="C11" s="1163"/>
      <c r="D11" s="663">
        <f>D6</f>
        <v>4.24</v>
      </c>
      <c r="E11" s="639">
        <v>12</v>
      </c>
      <c r="F11" s="650">
        <f>B11*E11</f>
        <v>0</v>
      </c>
      <c r="G11" s="624">
        <f>F11*D11</f>
        <v>0</v>
      </c>
    </row>
    <row r="12" spans="1:9" ht="12.75" customHeight="1" x14ac:dyDescent="0.2">
      <c r="A12" s="689" t="str">
        <f>"Autumn "&amp;'Fin.Yr Lookups'!A3</f>
        <v>Autumn 2020</v>
      </c>
      <c r="B12" s="1162"/>
      <c r="C12" s="1163"/>
      <c r="D12" s="663">
        <f>D6</f>
        <v>4.24</v>
      </c>
      <c r="E12" s="639">
        <v>15</v>
      </c>
      <c r="F12" s="650">
        <f>B12*E12</f>
        <v>0</v>
      </c>
      <c r="G12" s="624">
        <f>F12*D12</f>
        <v>0</v>
      </c>
    </row>
    <row r="13" spans="1:9" ht="12.75" customHeight="1" x14ac:dyDescent="0.2">
      <c r="A13" s="689" t="str">
        <f>"Spring "&amp;'Fin.Yr Lookups'!A4</f>
        <v>Spring 2021</v>
      </c>
      <c r="B13" s="1162"/>
      <c r="C13" s="1163"/>
      <c r="D13" s="663">
        <f>D6</f>
        <v>4.24</v>
      </c>
      <c r="E13" s="639">
        <v>11</v>
      </c>
      <c r="F13" s="650">
        <f>B13*E13</f>
        <v>0</v>
      </c>
      <c r="G13" s="624">
        <f>F13*D13</f>
        <v>0</v>
      </c>
    </row>
    <row r="14" spans="1:9" ht="12.75" customHeight="1" x14ac:dyDescent="0.2">
      <c r="A14" s="1158" t="s">
        <v>914</v>
      </c>
      <c r="B14" s="1159"/>
      <c r="C14" s="1159"/>
      <c r="D14" s="1159"/>
      <c r="E14" s="1159"/>
      <c r="F14" s="1159"/>
      <c r="G14" s="1160"/>
    </row>
    <row r="15" spans="1:9" ht="12.75" customHeight="1" x14ac:dyDescent="0.2">
      <c r="A15" s="689" t="str">
        <f>"Summer "&amp;'Fin.Yr Lookups'!A3</f>
        <v>Summer 2020</v>
      </c>
      <c r="B15" s="1162"/>
      <c r="C15" s="1163"/>
      <c r="D15" s="663">
        <f>D7</f>
        <v>5.2</v>
      </c>
      <c r="E15" s="639">
        <v>12</v>
      </c>
      <c r="F15" s="690">
        <f>B15*E15</f>
        <v>0</v>
      </c>
      <c r="G15" s="624">
        <f>F15*D15</f>
        <v>0</v>
      </c>
    </row>
    <row r="16" spans="1:9" ht="12.75" customHeight="1" x14ac:dyDescent="0.2">
      <c r="A16" s="689" t="str">
        <f>"Autumn "&amp;'Fin.Yr Lookups'!A3</f>
        <v>Autumn 2020</v>
      </c>
      <c r="B16" s="1162"/>
      <c r="C16" s="1163"/>
      <c r="D16" s="663">
        <f>D7</f>
        <v>5.2</v>
      </c>
      <c r="E16" s="639">
        <v>15</v>
      </c>
      <c r="F16" s="690">
        <f>B16*E16</f>
        <v>0</v>
      </c>
      <c r="G16" s="624">
        <f>F16*D16</f>
        <v>0</v>
      </c>
    </row>
    <row r="17" spans="1:8" ht="12.75" customHeight="1" x14ac:dyDescent="0.2">
      <c r="A17" s="689" t="str">
        <f>"Spring "&amp;'Fin.Yr Lookups'!A4</f>
        <v>Spring 2021</v>
      </c>
      <c r="B17" s="1162"/>
      <c r="C17" s="1163"/>
      <c r="D17" s="663">
        <f>D7</f>
        <v>5.2</v>
      </c>
      <c r="E17" s="639">
        <v>11</v>
      </c>
      <c r="F17" s="690">
        <f>B17*E17</f>
        <v>0</v>
      </c>
      <c r="G17" s="624">
        <f>F17*D17</f>
        <v>0</v>
      </c>
    </row>
    <row r="18" spans="1:8" s="502" customFormat="1" ht="21" customHeight="1" x14ac:dyDescent="0.2">
      <c r="A18" s="1158" t="str">
        <f>" Estimated Early Years Funding (excl. deprivation &amp; Pupil Premium)"</f>
        <v xml:space="preserve"> Estimated Early Years Funding (excl. deprivation &amp; Pupil Premium)</v>
      </c>
      <c r="B18" s="1159"/>
      <c r="C18" s="1159"/>
      <c r="D18" s="1160"/>
      <c r="E18" s="661">
        <f>SUM(E11:E13)</f>
        <v>38</v>
      </c>
      <c r="F18" s="662">
        <f>SUM(F11:F13)</f>
        <v>0</v>
      </c>
      <c r="G18" s="713">
        <f>G11+G12+G13+G15+G16+G17</f>
        <v>0</v>
      </c>
      <c r="H18" s="664">
        <f>ROUND(SUM(G11:G13),0)</f>
        <v>0</v>
      </c>
    </row>
    <row r="19" spans="1:8" ht="18" customHeight="1" x14ac:dyDescent="0.2">
      <c r="A19" s="1166" t="s">
        <v>912</v>
      </c>
      <c r="B19" s="1167"/>
      <c r="C19" s="1167"/>
      <c r="D19" s="1167"/>
      <c r="E19" s="1167"/>
      <c r="F19" s="1168"/>
      <c r="G19" s="719"/>
    </row>
    <row r="20" spans="1:8" ht="18" customHeight="1" x14ac:dyDescent="0.2">
      <c r="A20" s="1166" t="s">
        <v>913</v>
      </c>
      <c r="B20" s="1167"/>
      <c r="C20" s="1167"/>
      <c r="D20" s="1167"/>
      <c r="E20" s="1167"/>
      <c r="F20" s="1168"/>
      <c r="G20" s="719"/>
    </row>
    <row r="21" spans="1:8" ht="21" customHeight="1" x14ac:dyDescent="0.2">
      <c r="A21" s="1169" t="str">
        <f>" Total Estimated Early Years Funding for "&amp;'Fin.Yr Lookups'!A5</f>
        <v xml:space="preserve"> Total Estimated Early Years Funding for 2020-21</v>
      </c>
      <c r="B21" s="1169"/>
      <c r="C21" s="1169"/>
      <c r="D21" s="1169"/>
      <c r="E21" s="1169"/>
      <c r="F21" s="1169"/>
      <c r="G21" s="713">
        <f>ROUND(G18+G19+G20,0)</f>
        <v>0</v>
      </c>
    </row>
  </sheetData>
  <sheetProtection algorithmName="SHA-512" hashValue="2VKOv788UdrXa0EISv7EviRjOhvw/9s0Ui5YhGLFJ1iK5H56KRYsXijIXih6bseIn/wqImr8aKsGHsP8tx0cTQ==" saltValue="8GStj7SY1junax+6eKjTwA==" spinCount="100000" sheet="1" formatCells="0"/>
  <mergeCells count="18">
    <mergeCell ref="A20:F20"/>
    <mergeCell ref="A21:F21"/>
    <mergeCell ref="A2:G2"/>
    <mergeCell ref="A3:G3"/>
    <mergeCell ref="A5:G5"/>
    <mergeCell ref="A19:F19"/>
    <mergeCell ref="A1:G1"/>
    <mergeCell ref="A10:G10"/>
    <mergeCell ref="A8:G8"/>
    <mergeCell ref="B13:C13"/>
    <mergeCell ref="A18:D18"/>
    <mergeCell ref="B12:C12"/>
    <mergeCell ref="B9:C9"/>
    <mergeCell ref="B11:C11"/>
    <mergeCell ref="A14:G14"/>
    <mergeCell ref="B15:C15"/>
    <mergeCell ref="B16:C16"/>
    <mergeCell ref="B17:C17"/>
  </mergeCells>
  <conditionalFormatting sqref="G18">
    <cfRule type="expression" dxfId="35" priority="2">
      <formula>"&lt;&gt;$I20"</formula>
    </cfRule>
  </conditionalFormatting>
  <conditionalFormatting sqref="G21">
    <cfRule type="expression" dxfId="34" priority="1">
      <formula>"&lt;&gt;$I20"</formula>
    </cfRule>
  </conditionalFormatting>
  <pageMargins left="0.70866141732283472" right="0.70866141732283472" top="0.74803149606299213" bottom="0.74803149606299213" header="0.31496062992125984" footer="0.31496062992125984"/>
  <pageSetup paperSize="9" scale="83" orientation="portrait" blackAndWhite="1" r:id="rId1"/>
  <headerFooter>
    <oddHeader>&amp;R&amp;F</oddHeader>
    <oddFooter>&amp;LFormat prepared by the
Schools Finance Team&amp;RPrinted on &amp;D
 at&amp;T</oddFooter>
  </headerFooter>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1"/>
  </sheetPr>
  <dimension ref="A1:N49"/>
  <sheetViews>
    <sheetView zoomScaleNormal="100" workbookViewId="0">
      <selection activeCell="B17" sqref="B17"/>
    </sheetView>
  </sheetViews>
  <sheetFormatPr defaultColWidth="9.140625" defaultRowHeight="12.75" x14ac:dyDescent="0.2"/>
  <cols>
    <col min="1" max="1" width="56.5703125" style="873" customWidth="1"/>
    <col min="2" max="3" width="21.28515625" style="873" customWidth="1"/>
    <col min="4" max="4" width="9.85546875" style="873" customWidth="1"/>
    <col min="5" max="5" width="21.5703125" style="872" hidden="1" customWidth="1"/>
    <col min="6" max="6" width="14.85546875" style="872" hidden="1" customWidth="1"/>
    <col min="7" max="7" width="25.5703125" style="872" hidden="1" customWidth="1"/>
    <col min="8" max="8" width="29.7109375" style="872" hidden="1" customWidth="1"/>
    <col min="9" max="16384" width="9.140625" style="873"/>
  </cols>
  <sheetData>
    <row r="1" spans="1:13" ht="18" x14ac:dyDescent="0.2">
      <c r="A1" s="1174" t="str">
        <f>Summary!A1</f>
        <v>Matching Green CE P</v>
      </c>
      <c r="B1" s="1175"/>
      <c r="C1" s="1176"/>
      <c r="D1" s="857"/>
    </row>
    <row r="2" spans="1:13" ht="48.75" customHeight="1" x14ac:dyDescent="0.2">
      <c r="A2" s="1183" t="s">
        <v>853</v>
      </c>
      <c r="B2" s="1183"/>
      <c r="C2" s="857"/>
      <c r="D2" s="857"/>
      <c r="G2" s="1177" t="s">
        <v>976</v>
      </c>
      <c r="H2" s="1180" t="str">
        <f>'Fin.Yr Lookups'!A16&amp;" TOP-UP VALUE"</f>
        <v>2019-20 TOP-UP VALUE</v>
      </c>
    </row>
    <row r="3" spans="1:13" ht="15.75" customHeight="1" x14ac:dyDescent="0.4">
      <c r="A3" s="1182" t="s">
        <v>943</v>
      </c>
      <c r="B3" s="1182"/>
      <c r="C3" s="856"/>
      <c r="D3" s="856"/>
      <c r="E3" s="874"/>
      <c r="G3" s="1178"/>
      <c r="H3" s="1181"/>
      <c r="I3" s="875"/>
    </row>
    <row r="4" spans="1:13" ht="12" customHeight="1" x14ac:dyDescent="0.4">
      <c r="A4" s="856"/>
      <c r="B4" s="856"/>
      <c r="C4" s="856"/>
      <c r="D4" s="856"/>
      <c r="E4" s="874"/>
      <c r="G4" s="1179"/>
      <c r="H4" s="1181"/>
      <c r="I4" s="875"/>
    </row>
    <row r="5" spans="1:13" ht="26.25" x14ac:dyDescent="0.4">
      <c r="A5" s="862" t="s">
        <v>977</v>
      </c>
      <c r="B5" s="856"/>
      <c r="C5" s="856"/>
      <c r="D5" s="856"/>
      <c r="E5" s="874"/>
      <c r="G5" s="876">
        <v>1114</v>
      </c>
      <c r="H5" s="877">
        <v>7288</v>
      </c>
      <c r="I5" s="875"/>
    </row>
    <row r="6" spans="1:13" ht="33" customHeight="1" thickBot="1" x14ac:dyDescent="0.45">
      <c r="A6" s="1173" t="str">
        <f>IF(ISNA(VLOOKUP(Income!E1,$G$5:$H$11,1,FALSE)),"Your school is not eligible for Enhanced Provision High Needs funding","Please enter pupil &amp; place data as directed in the yellow cells below. It is important to ensure that projected place and pupil numbers are realistic and achievable as they are the main factor in determining funding.")</f>
        <v>Your school is not eligible for Enhanced Provision High Needs funding</v>
      </c>
      <c r="B6" s="1173"/>
      <c r="C6" s="1173"/>
      <c r="D6" s="856"/>
      <c r="E6" s="874"/>
      <c r="G6" s="876">
        <v>1838</v>
      </c>
      <c r="H6" s="877">
        <v>7288</v>
      </c>
      <c r="I6" s="875"/>
    </row>
    <row r="7" spans="1:13" ht="13.5" thickBot="1" x14ac:dyDescent="0.25">
      <c r="A7" s="878" t="s">
        <v>833</v>
      </c>
      <c r="B7" s="879" t="s">
        <v>971</v>
      </c>
      <c r="C7" s="853" t="s">
        <v>531</v>
      </c>
      <c r="D7" s="856"/>
      <c r="E7" s="880"/>
      <c r="F7" s="881"/>
      <c r="G7" s="876">
        <v>1664</v>
      </c>
      <c r="H7" s="877">
        <v>7288</v>
      </c>
      <c r="I7" s="882"/>
      <c r="J7" s="882"/>
      <c r="K7" s="882"/>
      <c r="L7" s="882"/>
      <c r="M7" s="882"/>
    </row>
    <row r="8" spans="1:13" x14ac:dyDescent="0.2">
      <c r="A8" s="839" t="s">
        <v>972</v>
      </c>
      <c r="B8" s="854"/>
      <c r="C8" s="883">
        <f>B8*$E$8</f>
        <v>0</v>
      </c>
      <c r="D8" s="856"/>
      <c r="E8" s="858">
        <v>7175.58</v>
      </c>
      <c r="G8" s="876">
        <v>4828</v>
      </c>
      <c r="H8" s="877">
        <v>599</v>
      </c>
    </row>
    <row r="9" spans="1:13" x14ac:dyDescent="0.2">
      <c r="A9" s="840" t="s">
        <v>973</v>
      </c>
      <c r="B9" s="846"/>
      <c r="C9" s="864">
        <f>B9*$E$9</f>
        <v>0</v>
      </c>
      <c r="D9" s="856"/>
      <c r="E9" s="858">
        <v>10000</v>
      </c>
      <c r="G9" s="876">
        <v>1688</v>
      </c>
      <c r="H9" s="877">
        <v>599</v>
      </c>
    </row>
    <row r="10" spans="1:13" x14ac:dyDescent="0.2">
      <c r="A10" s="841" t="s">
        <v>878</v>
      </c>
      <c r="B10" s="846"/>
      <c r="C10" s="884">
        <f>IF(ISNA(VLOOKUP(Income!E1,'Special Provision'!$G$5:$H$11,2,FALSE)),0,B10*VLOOKUP(Income!E1,'Special Provision'!$G$5:$H$11,2,FALSE))</f>
        <v>0</v>
      </c>
      <c r="D10" s="856"/>
      <c r="E10" s="885"/>
      <c r="G10" s="876">
        <v>4706</v>
      </c>
      <c r="H10" s="877">
        <v>599</v>
      </c>
    </row>
    <row r="11" spans="1:13" ht="13.5" thickBot="1" x14ac:dyDescent="0.25">
      <c r="A11" s="842" t="s">
        <v>945</v>
      </c>
      <c r="B11" s="843"/>
      <c r="C11" s="855"/>
      <c r="D11" s="856"/>
      <c r="E11" s="885"/>
      <c r="G11" s="886">
        <v>4200</v>
      </c>
      <c r="H11" s="887">
        <v>11576</v>
      </c>
    </row>
    <row r="12" spans="1:13" ht="16.5" thickBot="1" x14ac:dyDescent="0.25">
      <c r="C12" s="863">
        <f>IF(ISERROR(SUM(C8:C11)),0,SUM(C8:C11))</f>
        <v>0</v>
      </c>
      <c r="D12" s="856"/>
    </row>
    <row r="13" spans="1:13" ht="15.75" customHeight="1" x14ac:dyDescent="0.2">
      <c r="D13" s="856"/>
      <c r="G13" s="895" t="s">
        <v>946</v>
      </c>
      <c r="H13" s="895"/>
    </row>
    <row r="14" spans="1:13" ht="17.25" customHeight="1" x14ac:dyDescent="0.25">
      <c r="A14" s="888" t="s">
        <v>974</v>
      </c>
      <c r="D14" s="856"/>
      <c r="G14" s="895">
        <v>8106</v>
      </c>
      <c r="H14" s="895">
        <v>5991.5349999999999</v>
      </c>
    </row>
    <row r="15" spans="1:13" ht="33" customHeight="1" thickBot="1" x14ac:dyDescent="0.25">
      <c r="A15" s="1173" t="str">
        <f>IF(Income!E1&lt;8000,"Your school is not eligible for Special School High Needs funding","Please enter pupil &amp; place data as directed in the yellow cells below. It is important to ensure that projected place and pupil numbers are realistic and achievable as they are the main factor in determining funding.")</f>
        <v>Your school is not eligible for Special School High Needs funding</v>
      </c>
      <c r="B15" s="1173"/>
      <c r="C15" s="1173"/>
      <c r="D15" s="856"/>
      <c r="G15" s="895">
        <v>8148</v>
      </c>
      <c r="H15" s="895">
        <v>10134.23</v>
      </c>
    </row>
    <row r="16" spans="1:13" ht="13.5" thickBot="1" x14ac:dyDescent="0.25">
      <c r="A16" s="910" t="s">
        <v>947</v>
      </c>
      <c r="B16" s="879" t="s">
        <v>971</v>
      </c>
      <c r="C16" s="853" t="s">
        <v>531</v>
      </c>
      <c r="D16" s="856"/>
      <c r="G16" s="895">
        <v>8154</v>
      </c>
      <c r="H16" s="895">
        <v>10138.299999999999</v>
      </c>
    </row>
    <row r="17" spans="1:14" x14ac:dyDescent="0.2">
      <c r="A17" s="908" t="str">
        <f>IF(OR(Income!E1=8106,Income!E1=8148,Income!E1=8154),"Funded Places","Pre-16 Places")</f>
        <v>Pre-16 Places</v>
      </c>
      <c r="B17" s="909"/>
      <c r="C17" s="884">
        <f>B17*$F17+IF(ISNA(VLOOKUP(Income!E1,'Special Provision'!G14:G16,1,FALSE)),0,VLOOKUP(Income!E1,'Special Provision'!G14:H16,2,FALSE)*'Special Provision'!B17)</f>
        <v>0</v>
      </c>
      <c r="D17" s="856"/>
      <c r="E17" s="889" t="s">
        <v>948</v>
      </c>
      <c r="F17" s="844">
        <v>10000</v>
      </c>
      <c r="J17" s="882"/>
      <c r="K17" s="882"/>
      <c r="L17" s="882"/>
      <c r="M17" s="882"/>
      <c r="N17" s="882"/>
    </row>
    <row r="18" spans="1:14" x14ac:dyDescent="0.2">
      <c r="A18" s="632" t="str">
        <f>IF(OR(Income!E1=8106,Income!E1=8148,Income!E1=8154),"","Post-16 Places")</f>
        <v>Post-16 Places</v>
      </c>
      <c r="B18" s="846"/>
      <c r="C18" s="864">
        <f>B18*$F18</f>
        <v>0</v>
      </c>
      <c r="D18" s="856"/>
      <c r="E18" s="890" t="s">
        <v>949</v>
      </c>
      <c r="F18" s="844">
        <v>10000</v>
      </c>
      <c r="J18" s="882"/>
      <c r="K18" s="882"/>
      <c r="L18" s="882"/>
      <c r="M18" s="882"/>
      <c r="N18" s="882"/>
    </row>
    <row r="19" spans="1:14" ht="13.5" thickBot="1" x14ac:dyDescent="0.25">
      <c r="A19" s="865" t="s">
        <v>950</v>
      </c>
      <c r="B19" s="866">
        <f>SUM(B17:B18)</f>
        <v>0</v>
      </c>
      <c r="C19" s="867">
        <f>SUM(C17:C18)</f>
        <v>0</v>
      </c>
      <c r="D19" s="856"/>
      <c r="E19" s="890"/>
      <c r="F19" s="844"/>
      <c r="J19" s="891"/>
      <c r="K19" s="891"/>
      <c r="L19" s="891"/>
      <c r="M19" s="891"/>
      <c r="N19" s="891"/>
    </row>
    <row r="20" spans="1:14" ht="9" customHeight="1" thickBot="1" x14ac:dyDescent="0.25">
      <c r="A20" s="856"/>
      <c r="B20" s="856"/>
      <c r="C20" s="856"/>
      <c r="D20" s="856"/>
      <c r="E20" s="890"/>
      <c r="F20" s="844"/>
      <c r="J20" s="891"/>
      <c r="K20" s="891"/>
      <c r="L20" s="891"/>
      <c r="M20" s="891"/>
      <c r="N20" s="891"/>
    </row>
    <row r="21" spans="1:14" x14ac:dyDescent="0.2">
      <c r="A21" s="892" t="s">
        <v>945</v>
      </c>
      <c r="B21" s="854"/>
      <c r="C21" s="868"/>
      <c r="D21" s="856"/>
      <c r="E21" s="893" t="s">
        <v>951</v>
      </c>
      <c r="F21" s="894">
        <v>0</v>
      </c>
      <c r="J21" s="882"/>
      <c r="K21" s="882"/>
      <c r="L21" s="882"/>
      <c r="M21" s="882"/>
      <c r="N21" s="882"/>
    </row>
    <row r="22" spans="1:14" x14ac:dyDescent="0.2">
      <c r="A22" s="896" t="s">
        <v>980</v>
      </c>
      <c r="B22" s="846"/>
      <c r="C22" s="864">
        <f t="shared" ref="C22:C38" si="0">B22*$F22</f>
        <v>0</v>
      </c>
      <c r="D22" s="856"/>
      <c r="E22" s="893" t="s">
        <v>952</v>
      </c>
      <c r="F22" s="894">
        <v>1617.52</v>
      </c>
      <c r="J22" s="882"/>
      <c r="K22" s="882"/>
      <c r="L22" s="882"/>
      <c r="M22" s="882"/>
      <c r="N22" s="882"/>
    </row>
    <row r="23" spans="1:14" x14ac:dyDescent="0.2">
      <c r="A23" s="896" t="s">
        <v>981</v>
      </c>
      <c r="B23" s="846"/>
      <c r="C23" s="864">
        <f t="shared" si="0"/>
        <v>0</v>
      </c>
      <c r="D23" s="856"/>
      <c r="E23" s="893" t="s">
        <v>832</v>
      </c>
      <c r="F23" s="894">
        <v>7496.52</v>
      </c>
      <c r="J23" s="882"/>
      <c r="K23" s="882"/>
      <c r="L23" s="882"/>
      <c r="M23" s="882"/>
      <c r="N23" s="882"/>
    </row>
    <row r="24" spans="1:14" x14ac:dyDescent="0.2">
      <c r="A24" s="896" t="s">
        <v>982</v>
      </c>
      <c r="B24" s="846"/>
      <c r="C24" s="864">
        <f t="shared" si="0"/>
        <v>0</v>
      </c>
      <c r="D24" s="856"/>
      <c r="E24" s="893" t="s">
        <v>953</v>
      </c>
      <c r="F24" s="894">
        <v>3528.63</v>
      </c>
      <c r="J24" s="882"/>
      <c r="K24" s="882"/>
      <c r="L24" s="882"/>
      <c r="M24" s="882"/>
      <c r="N24" s="882"/>
    </row>
    <row r="25" spans="1:14" x14ac:dyDescent="0.2">
      <c r="A25" s="896" t="s">
        <v>983</v>
      </c>
      <c r="B25" s="846"/>
      <c r="C25" s="864">
        <f t="shared" si="0"/>
        <v>0</v>
      </c>
      <c r="D25" s="856"/>
      <c r="E25" s="890" t="s">
        <v>954</v>
      </c>
      <c r="F25" s="897">
        <v>9951.52</v>
      </c>
      <c r="J25" s="882"/>
      <c r="K25" s="882"/>
      <c r="L25" s="882"/>
      <c r="M25" s="882"/>
      <c r="N25" s="882"/>
    </row>
    <row r="26" spans="1:14" x14ac:dyDescent="0.2">
      <c r="A26" s="896" t="s">
        <v>984</v>
      </c>
      <c r="B26" s="846"/>
      <c r="C26" s="864">
        <f t="shared" si="0"/>
        <v>0</v>
      </c>
      <c r="D26" s="856"/>
      <c r="E26" s="847" t="s">
        <v>955</v>
      </c>
      <c r="F26" s="848">
        <v>12626.52</v>
      </c>
      <c r="J26" s="882"/>
      <c r="K26" s="882"/>
      <c r="L26" s="882"/>
      <c r="M26" s="882"/>
      <c r="N26" s="882"/>
    </row>
    <row r="27" spans="1:14" x14ac:dyDescent="0.2">
      <c r="A27" s="896" t="s">
        <v>985</v>
      </c>
      <c r="B27" s="846"/>
      <c r="C27" s="864">
        <f t="shared" si="0"/>
        <v>0</v>
      </c>
      <c r="D27" s="856"/>
      <c r="E27" s="890" t="s">
        <v>956</v>
      </c>
      <c r="F27" s="897">
        <v>0</v>
      </c>
      <c r="J27" s="882"/>
      <c r="K27" s="882"/>
      <c r="L27" s="882"/>
      <c r="M27" s="882"/>
      <c r="N27" s="882"/>
    </row>
    <row r="28" spans="1:14" x14ac:dyDescent="0.2">
      <c r="A28" s="896" t="s">
        <v>986</v>
      </c>
      <c r="B28" s="846"/>
      <c r="C28" s="864">
        <f t="shared" si="0"/>
        <v>0</v>
      </c>
      <c r="D28" s="856"/>
      <c r="E28" s="849" t="s">
        <v>957</v>
      </c>
      <c r="F28" s="850">
        <v>1800</v>
      </c>
      <c r="G28" s="859"/>
      <c r="H28" s="859"/>
      <c r="J28" s="882"/>
      <c r="K28" s="882"/>
      <c r="L28" s="882"/>
      <c r="M28" s="882"/>
      <c r="N28" s="882"/>
    </row>
    <row r="29" spans="1:14" x14ac:dyDescent="0.2">
      <c r="A29" s="896" t="s">
        <v>987</v>
      </c>
      <c r="B29" s="846"/>
      <c r="C29" s="864">
        <f t="shared" si="0"/>
        <v>0</v>
      </c>
      <c r="D29" s="856"/>
      <c r="E29" s="847" t="s">
        <v>958</v>
      </c>
      <c r="F29" s="848">
        <v>2700</v>
      </c>
      <c r="G29" s="858"/>
      <c r="H29" s="858"/>
      <c r="J29" s="882"/>
      <c r="K29" s="882"/>
      <c r="L29" s="882"/>
      <c r="M29" s="882"/>
      <c r="N29" s="882"/>
    </row>
    <row r="30" spans="1:14" x14ac:dyDescent="0.2">
      <c r="A30" s="896" t="s">
        <v>988</v>
      </c>
      <c r="B30" s="846"/>
      <c r="C30" s="864">
        <f t="shared" si="0"/>
        <v>0</v>
      </c>
      <c r="D30" s="856"/>
      <c r="E30" s="847" t="s">
        <v>959</v>
      </c>
      <c r="F30" s="848">
        <v>4800</v>
      </c>
      <c r="G30" s="858"/>
      <c r="H30" s="858"/>
      <c r="J30" s="882"/>
      <c r="K30" s="882"/>
      <c r="L30" s="882"/>
      <c r="M30" s="882"/>
      <c r="N30" s="882"/>
    </row>
    <row r="31" spans="1:14" x14ac:dyDescent="0.2">
      <c r="A31" s="896" t="s">
        <v>989</v>
      </c>
      <c r="B31" s="846"/>
      <c r="C31" s="864">
        <f t="shared" si="0"/>
        <v>0</v>
      </c>
      <c r="D31" s="856"/>
      <c r="E31" s="847" t="s">
        <v>960</v>
      </c>
      <c r="F31" s="848">
        <v>7500</v>
      </c>
      <c r="G31" s="858"/>
      <c r="H31" s="858"/>
      <c r="J31" s="882"/>
      <c r="K31" s="882"/>
      <c r="L31" s="882"/>
      <c r="M31" s="882"/>
      <c r="N31" s="882"/>
    </row>
    <row r="32" spans="1:14" ht="15" x14ac:dyDescent="0.2">
      <c r="A32" s="896" t="s">
        <v>990</v>
      </c>
      <c r="B32" s="846"/>
      <c r="C32" s="864">
        <f t="shared" si="0"/>
        <v>0</v>
      </c>
      <c r="D32" s="856"/>
      <c r="E32" s="851" t="s">
        <v>961</v>
      </c>
      <c r="F32" s="852">
        <v>10000</v>
      </c>
      <c r="G32" s="860"/>
      <c r="H32" s="860"/>
      <c r="J32" s="882"/>
      <c r="K32" s="882"/>
      <c r="L32" s="882"/>
      <c r="M32" s="882"/>
      <c r="N32" s="882"/>
    </row>
    <row r="33" spans="1:14" x14ac:dyDescent="0.2">
      <c r="A33" s="896" t="s">
        <v>991</v>
      </c>
      <c r="B33" s="846"/>
      <c r="C33" s="864">
        <f t="shared" si="0"/>
        <v>0</v>
      </c>
      <c r="D33" s="856"/>
      <c r="E33" s="890" t="s">
        <v>962</v>
      </c>
      <c r="F33" s="897">
        <v>15000</v>
      </c>
      <c r="G33" s="898"/>
      <c r="H33" s="898"/>
      <c r="J33" s="882"/>
      <c r="K33" s="882"/>
      <c r="L33" s="882"/>
      <c r="M33" s="882"/>
      <c r="N33" s="882"/>
    </row>
    <row r="34" spans="1:14" x14ac:dyDescent="0.2">
      <c r="A34" s="896" t="s">
        <v>992</v>
      </c>
      <c r="B34" s="846"/>
      <c r="C34" s="864">
        <f t="shared" si="0"/>
        <v>0</v>
      </c>
      <c r="D34" s="856"/>
      <c r="E34" s="890" t="s">
        <v>963</v>
      </c>
      <c r="F34" s="897">
        <v>20000</v>
      </c>
      <c r="G34" s="898"/>
      <c r="H34" s="898"/>
      <c r="J34" s="882"/>
      <c r="K34" s="882"/>
      <c r="L34" s="882"/>
      <c r="M34" s="882"/>
      <c r="N34" s="882"/>
    </row>
    <row r="35" spans="1:14" x14ac:dyDescent="0.2">
      <c r="A35" s="896" t="s">
        <v>993</v>
      </c>
      <c r="B35" s="846"/>
      <c r="C35" s="864">
        <f t="shared" si="0"/>
        <v>0</v>
      </c>
      <c r="D35" s="856"/>
      <c r="E35" s="890" t="s">
        <v>964</v>
      </c>
      <c r="F35" s="897">
        <v>25000</v>
      </c>
      <c r="G35" s="898"/>
      <c r="H35" s="898"/>
      <c r="J35" s="882"/>
      <c r="K35" s="882"/>
      <c r="L35" s="882"/>
      <c r="M35" s="882"/>
      <c r="N35" s="882"/>
    </row>
    <row r="36" spans="1:14" x14ac:dyDescent="0.2">
      <c r="A36" s="896" t="s">
        <v>994</v>
      </c>
      <c r="B36" s="846"/>
      <c r="C36" s="864">
        <f t="shared" si="0"/>
        <v>0</v>
      </c>
      <c r="D36" s="856"/>
      <c r="E36" s="890" t="s">
        <v>965</v>
      </c>
      <c r="F36" s="897">
        <v>30000</v>
      </c>
      <c r="G36" s="898"/>
      <c r="H36" s="898"/>
      <c r="J36" s="882"/>
      <c r="K36" s="882"/>
      <c r="L36" s="882"/>
      <c r="M36" s="882"/>
      <c r="N36" s="882"/>
    </row>
    <row r="37" spans="1:14" x14ac:dyDescent="0.2">
      <c r="A37" s="896" t="s">
        <v>995</v>
      </c>
      <c r="B37" s="846"/>
      <c r="C37" s="864">
        <f t="shared" si="0"/>
        <v>0</v>
      </c>
      <c r="D37" s="856"/>
      <c r="E37" s="890" t="s">
        <v>966</v>
      </c>
      <c r="F37" s="897">
        <v>40000</v>
      </c>
      <c r="G37" s="898"/>
      <c r="H37" s="898"/>
      <c r="J37" s="882"/>
      <c r="K37" s="882"/>
      <c r="L37" s="882"/>
      <c r="M37" s="882"/>
      <c r="N37" s="882"/>
    </row>
    <row r="38" spans="1:14" x14ac:dyDescent="0.2">
      <c r="A38" s="896" t="s">
        <v>996</v>
      </c>
      <c r="B38" s="846"/>
      <c r="C38" s="864">
        <f t="shared" si="0"/>
        <v>0</v>
      </c>
      <c r="D38" s="856"/>
      <c r="E38" s="890" t="s">
        <v>967</v>
      </c>
      <c r="F38" s="897">
        <v>12500</v>
      </c>
      <c r="G38" s="898"/>
      <c r="H38" s="898"/>
      <c r="J38" s="882"/>
      <c r="K38" s="882"/>
      <c r="L38" s="882"/>
      <c r="M38" s="882"/>
      <c r="N38" s="882"/>
    </row>
    <row r="39" spans="1:14" ht="13.5" thickBot="1" x14ac:dyDescent="0.25">
      <c r="A39" s="865" t="s">
        <v>968</v>
      </c>
      <c r="B39" s="866">
        <f>SUM(B21:B38)</f>
        <v>0</v>
      </c>
      <c r="C39" s="867">
        <f>SUM(C21:C38)</f>
        <v>0</v>
      </c>
      <c r="D39" s="856"/>
      <c r="E39" s="881"/>
      <c r="F39" s="881"/>
      <c r="G39" s="881"/>
      <c r="H39" s="881"/>
      <c r="I39" s="882"/>
      <c r="J39" s="882"/>
      <c r="K39" s="882"/>
      <c r="L39" s="882"/>
      <c r="M39" s="882"/>
      <c r="N39" s="882"/>
    </row>
    <row r="40" spans="1:14" ht="9" customHeight="1" thickBot="1" x14ac:dyDescent="0.25">
      <c r="A40" s="882"/>
      <c r="B40" s="899"/>
      <c r="C40" s="899"/>
      <c r="D40" s="856"/>
      <c r="E40" s="881"/>
      <c r="F40" s="881"/>
      <c r="G40" s="881"/>
      <c r="H40" s="881"/>
      <c r="I40" s="882"/>
      <c r="J40" s="882"/>
      <c r="K40" s="882"/>
      <c r="L40" s="882"/>
      <c r="M40" s="882"/>
      <c r="N40" s="882"/>
    </row>
    <row r="41" spans="1:14" x14ac:dyDescent="0.2">
      <c r="A41" s="900" t="s">
        <v>969</v>
      </c>
      <c r="B41" s="854"/>
      <c r="C41" s="869">
        <f>F41*B41</f>
        <v>0</v>
      </c>
      <c r="D41" s="856"/>
      <c r="E41" s="901" t="s">
        <v>970</v>
      </c>
      <c r="F41" s="845">
        <v>19231.52</v>
      </c>
      <c r="G41" s="861"/>
      <c r="H41" s="861"/>
      <c r="I41" s="882"/>
      <c r="J41" s="882"/>
      <c r="K41" s="882"/>
      <c r="L41" s="882"/>
      <c r="M41" s="882"/>
      <c r="N41" s="882"/>
    </row>
    <row r="42" spans="1:14" x14ac:dyDescent="0.2">
      <c r="A42" s="902" t="s">
        <v>858</v>
      </c>
      <c r="B42" s="845"/>
      <c r="C42" s="870">
        <f>IF(Income!E1&lt;8000,0,VLOOKUP(Income!E1,Lookup!A:M,12,FALSE))</f>
        <v>0</v>
      </c>
      <c r="D42" s="856"/>
      <c r="E42" s="881"/>
      <c r="F42" s="881"/>
      <c r="G42" s="881"/>
      <c r="H42" s="881"/>
      <c r="I42" s="882"/>
      <c r="J42" s="882"/>
      <c r="K42" s="882"/>
      <c r="L42" s="882"/>
      <c r="M42" s="882"/>
      <c r="N42" s="882"/>
    </row>
    <row r="43" spans="1:14" ht="9" customHeight="1" thickBot="1" x14ac:dyDescent="0.25">
      <c r="A43" s="903"/>
      <c r="C43" s="904"/>
      <c r="D43" s="856"/>
      <c r="E43" s="881"/>
      <c r="F43" s="881"/>
      <c r="G43" s="905"/>
      <c r="H43" s="905"/>
    </row>
    <row r="44" spans="1:14" ht="13.5" thickBot="1" x14ac:dyDescent="0.25">
      <c r="A44" s="635" t="s">
        <v>975</v>
      </c>
      <c r="B44" s="879"/>
      <c r="C44" s="871">
        <f>IF(Income!E1&lt;8000,0,VLOOKUP(Income!E1,Lookup!A:E,5,FALSE))</f>
        <v>0</v>
      </c>
      <c r="D44" s="856"/>
      <c r="E44" s="881"/>
      <c r="F44" s="881"/>
      <c r="G44" s="905"/>
      <c r="H44" s="905"/>
    </row>
    <row r="45" spans="1:14" ht="9" customHeight="1" thickBot="1" x14ac:dyDescent="0.25">
      <c r="A45" s="903"/>
      <c r="C45" s="904"/>
      <c r="D45" s="856"/>
      <c r="E45" s="881"/>
      <c r="F45" s="881"/>
      <c r="G45" s="905"/>
      <c r="H45" s="905"/>
    </row>
    <row r="46" spans="1:14" ht="16.5" thickBot="1" x14ac:dyDescent="0.25">
      <c r="A46" s="633" t="s">
        <v>944</v>
      </c>
      <c r="B46" s="879"/>
      <c r="C46" s="634">
        <f>IF(ISERROR(C19+C39+C41+C42-C44),0,C19+C39+C41+C42-C44)</f>
        <v>0</v>
      </c>
      <c r="D46" s="856"/>
      <c r="E46" s="881"/>
      <c r="F46" s="881"/>
      <c r="G46" s="905"/>
      <c r="H46" s="905"/>
    </row>
    <row r="47" spans="1:14" x14ac:dyDescent="0.2">
      <c r="A47" s="903"/>
      <c r="D47" s="856"/>
      <c r="E47" s="881"/>
      <c r="F47" s="881"/>
    </row>
    <row r="48" spans="1:14" x14ac:dyDescent="0.2">
      <c r="D48" s="856"/>
      <c r="E48" s="881"/>
      <c r="F48" s="881"/>
      <c r="G48" s="881"/>
      <c r="H48" s="881"/>
      <c r="I48" s="906"/>
      <c r="J48" s="907"/>
      <c r="K48" s="907"/>
      <c r="L48" s="907"/>
      <c r="M48" s="907"/>
      <c r="N48" s="907"/>
    </row>
    <row r="49" spans="4:4" x14ac:dyDescent="0.2">
      <c r="D49" s="856"/>
    </row>
  </sheetData>
  <sheetProtection algorithmName="SHA-512" hashValue="Wo8S0G6WAtQ4byCBKA5IxfdFIQz93nygdeT6/w0lfhRCPDMkmqMRBbMTi+ni/Lgq1Lzt+EYsIjdGw5Vg37z4jA==" saltValue="XjKxYuvceIXprJ5/rLpKHg==" spinCount="100000" sheet="1" formatCells="0"/>
  <mergeCells count="7">
    <mergeCell ref="A15:C15"/>
    <mergeCell ref="A1:C1"/>
    <mergeCell ref="G2:G4"/>
    <mergeCell ref="H2:H4"/>
    <mergeCell ref="A3:B3"/>
    <mergeCell ref="A2:B2"/>
    <mergeCell ref="A6:C6"/>
  </mergeCells>
  <conditionalFormatting sqref="A6">
    <cfRule type="expression" dxfId="33" priority="2">
      <formula>$A$6="Your school is not eligible for Enhanced Provision High Needs funding"</formula>
    </cfRule>
  </conditionalFormatting>
  <conditionalFormatting sqref="A15">
    <cfRule type="expression" dxfId="32" priority="1">
      <formula>$A15="Your school is not eligible for Special School High Needs funding"</formula>
    </cfRule>
  </conditionalFormatting>
  <pageMargins left="0.70866141732283472" right="0.70866141732283472" top="0.74803149606299213" bottom="0.74803149606299213" header="0.31496062992125984" footer="0.31496062992125984"/>
  <pageSetup paperSize="9" scale="89" orientation="portrait" blackAndWhite="1" r:id="rId1"/>
  <headerFooter>
    <oddHeader>&amp;R&amp;F</oddHeader>
    <oddFooter>&amp;LFormat prepared by the
Schools Finance Team&amp;RPrinted on&amp;D
at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29"/>
  <sheetViews>
    <sheetView workbookViewId="0">
      <selection activeCell="A5" sqref="A5"/>
    </sheetView>
  </sheetViews>
  <sheetFormatPr defaultRowHeight="12.75" x14ac:dyDescent="0.2"/>
  <cols>
    <col min="1" max="1" width="31.7109375" style="655" bestFit="1" customWidth="1"/>
  </cols>
  <sheetData>
    <row r="1" spans="1:1" x14ac:dyDescent="0.2">
      <c r="A1" s="653" t="s">
        <v>871</v>
      </c>
    </row>
    <row r="3" spans="1:1" x14ac:dyDescent="0.2">
      <c r="A3" s="655">
        <v>2020</v>
      </c>
    </row>
    <row r="4" spans="1:1" x14ac:dyDescent="0.2">
      <c r="A4" s="655">
        <v>2021</v>
      </c>
    </row>
    <row r="5" spans="1:1" x14ac:dyDescent="0.2">
      <c r="A5" s="654" t="s">
        <v>932</v>
      </c>
    </row>
    <row r="6" spans="1:1" x14ac:dyDescent="0.2">
      <c r="A6" s="654" t="s">
        <v>999</v>
      </c>
    </row>
    <row r="7" spans="1:1" x14ac:dyDescent="0.2">
      <c r="A7" s="656" t="s">
        <v>1000</v>
      </c>
    </row>
    <row r="8" spans="1:1" x14ac:dyDescent="0.2">
      <c r="A8" s="656" t="s">
        <v>1005</v>
      </c>
    </row>
    <row r="9" spans="1:1" x14ac:dyDescent="0.2">
      <c r="A9" s="656" t="s">
        <v>1008</v>
      </c>
    </row>
    <row r="10" spans="1:1" x14ac:dyDescent="0.2">
      <c r="A10" s="656" t="s">
        <v>1009</v>
      </c>
    </row>
    <row r="12" spans="1:1" x14ac:dyDescent="0.2">
      <c r="A12" s="653" t="s">
        <v>872</v>
      </c>
    </row>
    <row r="14" spans="1:1" x14ac:dyDescent="0.2">
      <c r="A14" s="655">
        <v>2019</v>
      </c>
    </row>
    <row r="15" spans="1:1" x14ac:dyDescent="0.2">
      <c r="A15" s="655">
        <v>2020</v>
      </c>
    </row>
    <row r="16" spans="1:1" x14ac:dyDescent="0.2">
      <c r="A16" s="654" t="s">
        <v>926</v>
      </c>
    </row>
    <row r="17" spans="1:1" x14ac:dyDescent="0.2">
      <c r="A17" s="654" t="s">
        <v>927</v>
      </c>
    </row>
    <row r="18" spans="1:1" x14ac:dyDescent="0.2">
      <c r="A18" s="656" t="s">
        <v>928</v>
      </c>
    </row>
    <row r="19" spans="1:1" x14ac:dyDescent="0.2">
      <c r="A19" s="656" t="s">
        <v>929</v>
      </c>
    </row>
    <row r="20" spans="1:1" x14ac:dyDescent="0.2">
      <c r="A20" s="656" t="s">
        <v>930</v>
      </c>
    </row>
    <row r="21" spans="1:1" x14ac:dyDescent="0.2">
      <c r="A21" s="656" t="s">
        <v>931</v>
      </c>
    </row>
    <row r="23" spans="1:1" x14ac:dyDescent="0.2">
      <c r="A23" s="653" t="s">
        <v>873</v>
      </c>
    </row>
    <row r="25" spans="1:1" x14ac:dyDescent="0.2">
      <c r="A25" s="655">
        <v>2014</v>
      </c>
    </row>
    <row r="26" spans="1:1" x14ac:dyDescent="0.2">
      <c r="A26" s="655">
        <v>2020</v>
      </c>
    </row>
    <row r="28" spans="1:1" x14ac:dyDescent="0.2">
      <c r="A28" s="653" t="s">
        <v>925</v>
      </c>
    </row>
    <row r="29" spans="1:1" x14ac:dyDescent="0.2">
      <c r="A29" s="654" t="s">
        <v>998</v>
      </c>
    </row>
  </sheetData>
  <pageMargins left="0.7" right="0.7" top="0.75" bottom="0.75" header="0.3" footer="0.3"/>
  <pageSetup paperSize="9" orientation="portrait" verticalDpi="0"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F19FE8-3F95-4692-A0B5-155AA20873ED}">
  <ds:schemaRefs>
    <ds:schemaRef ds:uri="http://schemas.microsoft.com/sharepoint/v3/contenttype/forms"/>
  </ds:schemaRefs>
</ds:datastoreItem>
</file>

<file path=customXml/itemProps2.xml><?xml version="1.0" encoding="utf-8"?>
<ds:datastoreItem xmlns:ds="http://schemas.openxmlformats.org/officeDocument/2006/customXml" ds:itemID="{5B61BA40-74CF-4A81-A53A-2F1F30D04940}">
  <ds:schemaRefs>
    <ds:schemaRef ds:uri="http://purl.org/dc/dcmitype/"/>
    <ds:schemaRef ds:uri="http://schemas.microsoft.com/office/infopath/2007/PartnerControls"/>
    <ds:schemaRef ds:uri="http://purl.org/dc/elements/1.1/"/>
    <ds:schemaRef ds:uri="http://schemas.microsoft.com/sharepoint/v3"/>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54784DE-D86E-470F-A422-109F907103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18</vt:i4>
      </vt:variant>
    </vt:vector>
  </HeadingPairs>
  <TitlesOfParts>
    <vt:vector size="34" baseType="lpstr">
      <vt:lpstr>To Do</vt:lpstr>
      <vt:lpstr> Guidance Notes</vt:lpstr>
      <vt:lpstr>Summary</vt:lpstr>
      <vt:lpstr>Income</vt:lpstr>
      <vt:lpstr>Expenditure</vt:lpstr>
      <vt:lpstr>Capital</vt:lpstr>
      <vt:lpstr>Early Years</vt:lpstr>
      <vt:lpstr>Special Provision</vt:lpstr>
      <vt:lpstr>Fin.Yr Lookups</vt:lpstr>
      <vt:lpstr>Lookup</vt:lpstr>
      <vt:lpstr>High Needs Statements</vt:lpstr>
      <vt:lpstr>Schools Block</vt:lpstr>
      <vt:lpstr>Additional Funding</vt:lpstr>
      <vt:lpstr>Cash Flow Report</vt:lpstr>
      <vt:lpstr>Prior Year Comparison</vt:lpstr>
      <vt:lpstr>Export Data</vt:lpstr>
      <vt:lpstr>' Guidance Notes'!Print_Area</vt:lpstr>
      <vt:lpstr>'Additional Funding'!Print_Area</vt:lpstr>
      <vt:lpstr>Capital!Print_Area</vt:lpstr>
      <vt:lpstr>'Cash Flow Report'!Print_Area</vt:lpstr>
      <vt:lpstr>'Early Years'!Print_Area</vt:lpstr>
      <vt:lpstr>Expenditure!Print_Area</vt:lpstr>
      <vt:lpstr>'High Needs Statements'!Print_Area</vt:lpstr>
      <vt:lpstr>Income!Print_Area</vt:lpstr>
      <vt:lpstr>'Prior Year Comparison'!Print_Area</vt:lpstr>
      <vt:lpstr>'Schools Block'!Print_Area</vt:lpstr>
      <vt:lpstr>'Special Provision'!Print_Area</vt:lpstr>
      <vt:lpstr>Summary!Print_Area</vt:lpstr>
      <vt:lpstr>'Cash Flow Report'!Print_Titles</vt:lpstr>
      <vt:lpstr>Expenditure!Print_Titles</vt:lpstr>
      <vt:lpstr>'High Needs Statements'!Print_Titles</vt:lpstr>
      <vt:lpstr>Income!Print_Titles</vt:lpstr>
      <vt:lpstr>'Prior Year Comparison'!Print_Titles</vt:lpstr>
      <vt:lpstr>profile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Graeme Ruffels Accounting Technician - Financial Support (FPS)</dc:creator>
  <cp:lastModifiedBy>Denise Howes</cp:lastModifiedBy>
  <cp:lastPrinted>2020-04-06T11:30:39Z</cp:lastPrinted>
  <dcterms:created xsi:type="dcterms:W3CDTF">2004-11-16T10:16:51Z</dcterms:created>
  <dcterms:modified xsi:type="dcterms:W3CDTF">2020-04-06T11:44:35Z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0x010100601B0A573E26F844BB93A73752B2593F</vt:lpwstr>
  </property>
  <property fmtid="{D5CDD505-2E9C-101B-9397-08002B2CF9AE}" pid="5" name="Order">
    <vt:r8>16800</vt:r8>
  </property>
  <property fmtid="{D5CDD505-2E9C-101B-9397-08002B2CF9AE}" pid="6" name="xd_Signature">
    <vt:bool>false</vt:bool>
  </property>
  <property fmtid="{D5CDD505-2E9C-101B-9397-08002B2CF9AE}" pid="7" name="xd_ProgID">
    <vt:lpwstr/>
  </property>
  <property fmtid="{D5CDD505-2E9C-101B-9397-08002B2CF9AE}" pid="8" name="SharedWithUsers">
    <vt:lpwstr/>
  </property>
  <property fmtid="{D5CDD505-2E9C-101B-9397-08002B2CF9AE}" pid="9" name="_SourceUrl">
    <vt:lpwstr/>
  </property>
  <property fmtid="{D5CDD505-2E9C-101B-9397-08002B2CF9AE}" pid="10" name="_SharedFileIndex">
    <vt:lpwstr/>
  </property>
  <property fmtid="{D5CDD505-2E9C-101B-9397-08002B2CF9AE}" pid="11" name="TemplateUrl">
    <vt:lpwstr/>
  </property>
</Properties>
</file>